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INTRANET\ETUDES\montants CCT - indexation &amp; revalorisation\"/>
    </mc:Choice>
  </mc:AlternateContent>
  <bookViews>
    <workbookView xWindow="0" yWindow="0" windowWidth="21276" windowHeight="8100" activeTab="5"/>
  </bookViews>
  <sheets>
    <sheet name="CCT n° 10" sheetId="1" r:id="rId1"/>
    <sheet name="CCT n° 17" sheetId="4" r:id="rId2"/>
    <sheet name="CCT n° 43" sheetId="2" r:id="rId3"/>
    <sheet name="CCT n° 46" sheetId="6" r:id="rId4"/>
    <sheet name="CCT n°49" sheetId="3" r:id="rId5"/>
    <sheet name="CCT n° 55" sheetId="5" r:id="rId6"/>
    <sheet name="Feuil1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4" l="1"/>
  <c r="E42" i="4"/>
  <c r="J49" i="5"/>
  <c r="J48" i="5"/>
  <c r="F49" i="5"/>
  <c r="F48" i="5"/>
  <c r="M49" i="5"/>
  <c r="F47" i="5"/>
  <c r="G33" i="3"/>
  <c r="E33" i="3"/>
  <c r="G57" i="6"/>
  <c r="J57" i="6"/>
  <c r="J55" i="6"/>
  <c r="K25" i="2"/>
  <c r="H25" i="2"/>
  <c r="F25" i="2"/>
  <c r="F24" i="2"/>
  <c r="E25" i="2"/>
  <c r="G42" i="4"/>
  <c r="E40" i="4"/>
  <c r="E74" i="1"/>
  <c r="G74" i="1"/>
  <c r="G56" i="6" l="1"/>
  <c r="K24" i="2" l="1"/>
  <c r="H24" i="2"/>
  <c r="E24" i="2"/>
  <c r="E38" i="4" l="1"/>
  <c r="G40" i="4"/>
  <c r="G55" i="6"/>
  <c r="G53" i="6"/>
  <c r="J47" i="5"/>
  <c r="F45" i="5"/>
  <c r="M46" i="5"/>
  <c r="G32" i="3" l="1"/>
  <c r="E32" i="3"/>
  <c r="E73" i="1"/>
  <c r="G73" i="1"/>
  <c r="E39" i="4" l="1"/>
  <c r="J46" i="5"/>
  <c r="F46" i="5"/>
  <c r="F46" i="4"/>
  <c r="G54" i="6" l="1"/>
  <c r="J25" i="5" l="1"/>
  <c r="E11" i="5"/>
  <c r="E8" i="5"/>
  <c r="E7" i="5"/>
  <c r="F43" i="5"/>
  <c r="F44" i="5" s="1"/>
  <c r="F35" i="5"/>
  <c r="F31" i="5"/>
  <c r="F32" i="5" s="1"/>
  <c r="F13" i="5"/>
  <c r="F14" i="5" s="1"/>
  <c r="F15" i="5" s="1"/>
  <c r="F40" i="5"/>
  <c r="E16" i="3"/>
  <c r="D13" i="3"/>
  <c r="D12" i="3"/>
  <c r="D11" i="3"/>
  <c r="D10" i="3"/>
  <c r="D9" i="3"/>
  <c r="D8" i="3"/>
  <c r="F8" i="3"/>
  <c r="F9" i="3"/>
  <c r="F10" i="3"/>
  <c r="F11" i="3"/>
  <c r="F12" i="3"/>
  <c r="F13" i="3"/>
  <c r="F29" i="5" l="1"/>
  <c r="F33" i="5"/>
  <c r="F34" i="5" s="1"/>
  <c r="F37" i="5"/>
  <c r="F38" i="5" s="1"/>
  <c r="F39" i="5" s="1"/>
  <c r="F41" i="5"/>
  <c r="F42" i="5" s="1"/>
  <c r="F18" i="5"/>
  <c r="F19" i="5" s="1"/>
  <c r="F22" i="5"/>
  <c r="F23" i="5" s="1"/>
  <c r="F26" i="5"/>
  <c r="F27" i="5" s="1"/>
  <c r="F28" i="5" s="1"/>
  <c r="F30" i="5"/>
  <c r="F16" i="5"/>
  <c r="F17" i="5" s="1"/>
  <c r="F20" i="5"/>
  <c r="F21" i="5" s="1"/>
  <c r="F24" i="5"/>
  <c r="F25" i="5" s="1"/>
  <c r="F36" i="5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5" i="3"/>
  <c r="E14" i="3"/>
  <c r="E13" i="3"/>
  <c r="E12" i="3"/>
  <c r="E11" i="3"/>
  <c r="E10" i="3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5" i="6"/>
  <c r="G17" i="6"/>
  <c r="G16" i="6"/>
  <c r="G14" i="6"/>
  <c r="G13" i="6"/>
  <c r="G12" i="6"/>
  <c r="G11" i="6"/>
  <c r="G10" i="6"/>
  <c r="G9" i="6"/>
  <c r="G8" i="6"/>
  <c r="G7" i="6"/>
  <c r="G6" i="6"/>
  <c r="J38" i="6"/>
  <c r="J11" i="6"/>
  <c r="J53" i="6"/>
  <c r="J51" i="6"/>
  <c r="J49" i="6"/>
  <c r="J48" i="6"/>
  <c r="J45" i="6"/>
  <c r="J44" i="6"/>
  <c r="J43" i="6"/>
  <c r="J41" i="6"/>
  <c r="J39" i="6"/>
  <c r="J36" i="6"/>
  <c r="J34" i="6"/>
  <c r="J32" i="6"/>
  <c r="J30" i="6"/>
  <c r="J28" i="6"/>
  <c r="J26" i="6"/>
  <c r="J24" i="6"/>
  <c r="J22" i="6"/>
  <c r="J20" i="6"/>
  <c r="J17" i="6"/>
  <c r="J16" i="6"/>
  <c r="J15" i="6"/>
  <c r="J13" i="6"/>
  <c r="J9" i="6"/>
  <c r="I9" i="3"/>
  <c r="E9" i="3" l="1"/>
  <c r="E8" i="3"/>
  <c r="E7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8" i="3"/>
  <c r="E5" i="4"/>
  <c r="E34" i="4"/>
  <c r="E35" i="4" s="1"/>
  <c r="E33" i="4"/>
  <c r="E29" i="4"/>
  <c r="E28" i="4"/>
  <c r="E26" i="4"/>
  <c r="E27" i="4" s="1"/>
  <c r="E23" i="4"/>
  <c r="E22" i="4"/>
  <c r="E19" i="4"/>
  <c r="E20" i="4" s="1"/>
  <c r="E21" i="4" s="1"/>
  <c r="E15" i="4"/>
  <c r="E16" i="4" s="1"/>
  <c r="E13" i="4"/>
  <c r="E14" i="4" s="1"/>
  <c r="E11" i="4"/>
  <c r="E12" i="4" s="1"/>
  <c r="E6" i="4"/>
  <c r="E7" i="4" s="1"/>
  <c r="E8" i="4" s="1"/>
  <c r="G38" i="4"/>
  <c r="G36" i="4"/>
  <c r="G34" i="4"/>
  <c r="G33" i="4"/>
  <c r="G30" i="4"/>
  <c r="G29" i="4"/>
  <c r="G28" i="4"/>
  <c r="G26" i="4"/>
  <c r="G24" i="4"/>
  <c r="G23" i="4"/>
  <c r="G22" i="4"/>
  <c r="G19" i="4"/>
  <c r="G17" i="4"/>
  <c r="G15" i="4"/>
  <c r="G13" i="4"/>
  <c r="G11" i="4"/>
  <c r="G9" i="4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I73" i="1"/>
  <c r="G72" i="1"/>
  <c r="G71" i="1"/>
  <c r="G70" i="1"/>
  <c r="G69" i="1"/>
  <c r="G68" i="1"/>
  <c r="G67" i="1"/>
  <c r="G66" i="1"/>
  <c r="G65" i="1"/>
  <c r="G64" i="1"/>
  <c r="G63" i="1"/>
  <c r="G62" i="1"/>
  <c r="G61" i="1"/>
  <c r="G59" i="1"/>
  <c r="G60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K19" i="2"/>
  <c r="K18" i="2"/>
  <c r="K17" i="2"/>
  <c r="K16" i="2"/>
  <c r="K15" i="2"/>
  <c r="K12" i="2"/>
  <c r="K11" i="2"/>
  <c r="K10" i="2"/>
  <c r="H19" i="2"/>
  <c r="H18" i="2"/>
  <c r="H17" i="2"/>
  <c r="H16" i="2"/>
  <c r="H12" i="2"/>
  <c r="H11" i="2"/>
  <c r="H10" i="2"/>
  <c r="E19" i="2"/>
  <c r="F19" i="2"/>
  <c r="E18" i="2"/>
  <c r="F18" i="2"/>
  <c r="E17" i="2"/>
  <c r="F17" i="2"/>
  <c r="E16" i="2"/>
  <c r="E12" i="2"/>
  <c r="E11" i="2"/>
  <c r="E10" i="2"/>
  <c r="F16" i="2"/>
  <c r="F12" i="2"/>
  <c r="F11" i="2"/>
  <c r="F10" i="2"/>
  <c r="E36" i="4" l="1"/>
  <c r="E37" i="4" s="1"/>
  <c r="E9" i="4"/>
  <c r="E10" i="4" s="1"/>
  <c r="E17" i="4"/>
  <c r="E18" i="4" s="1"/>
  <c r="E24" i="4"/>
  <c r="E25" i="4" s="1"/>
  <c r="E30" i="4"/>
  <c r="E31" i="4" s="1"/>
  <c r="E32" i="4" s="1"/>
  <c r="G31" i="3"/>
  <c r="H5" i="6"/>
  <c r="E6" i="1" l="1"/>
  <c r="I5" i="5" l="1"/>
  <c r="I8" i="5"/>
  <c r="I7" i="5"/>
  <c r="E6" i="5"/>
  <c r="I6" i="5" s="1"/>
  <c r="E5" i="1"/>
  <c r="E9" i="5" l="1"/>
  <c r="F7" i="6"/>
  <c r="F8" i="6" s="1"/>
  <c r="F9" i="6" s="1"/>
  <c r="F10" i="6" s="1"/>
  <c r="F11" i="6" s="1"/>
  <c r="F12" i="6" s="1"/>
  <c r="F13" i="6" s="1"/>
  <c r="F14" i="6" s="1"/>
  <c r="F15" i="6" s="1"/>
  <c r="F16" i="6" s="1"/>
  <c r="F17" i="6" s="1"/>
  <c r="F18" i="6" s="1"/>
  <c r="F19" i="6" s="1"/>
  <c r="F20" i="6" s="1"/>
  <c r="F6" i="6"/>
  <c r="F7" i="3"/>
  <c r="E6" i="3"/>
  <c r="D7" i="3"/>
  <c r="K9" i="2"/>
  <c r="H15" i="2"/>
  <c r="H9" i="2"/>
  <c r="E15" i="2"/>
  <c r="E9" i="2"/>
  <c r="F21" i="6" l="1"/>
  <c r="F22" i="6" s="1"/>
  <c r="F23" i="6" s="1"/>
  <c r="I9" i="5"/>
  <c r="E10" i="5"/>
  <c r="I10" i="5" l="1"/>
  <c r="I11" i="5" l="1"/>
  <c r="J12" i="5" l="1"/>
  <c r="J13" i="5" l="1"/>
  <c r="J14" i="5" l="1"/>
  <c r="J15" i="5" l="1"/>
  <c r="J16" i="5" l="1"/>
  <c r="J17" i="5" l="1"/>
  <c r="J18" i="5" l="1"/>
  <c r="J19" i="5" l="1"/>
  <c r="J20" i="5" l="1"/>
  <c r="J21" i="5" l="1"/>
  <c r="J22" i="5" l="1"/>
  <c r="J23" i="5" l="1"/>
  <c r="J24" i="5" l="1"/>
  <c r="J26" i="5" l="1"/>
  <c r="J27" i="5" l="1"/>
  <c r="J28" i="5" l="1"/>
  <c r="J29" i="5" l="1"/>
  <c r="J30" i="5" l="1"/>
  <c r="J31" i="5" l="1"/>
  <c r="J32" i="5" l="1"/>
  <c r="J33" i="5" l="1"/>
  <c r="J34" i="5" l="1"/>
  <c r="J35" i="5" l="1"/>
  <c r="J36" i="5" l="1"/>
  <c r="J37" i="5" l="1"/>
  <c r="J38" i="5" l="1"/>
  <c r="J39" i="5" l="1"/>
  <c r="J40" i="5" l="1"/>
  <c r="J41" i="5" l="1"/>
  <c r="J42" i="5" l="1"/>
  <c r="J43" i="5" l="1"/>
  <c r="J45" i="5" l="1"/>
  <c r="J44" i="5"/>
</calcChain>
</file>

<file path=xl/sharedStrings.xml><?xml version="1.0" encoding="utf-8"?>
<sst xmlns="http://schemas.openxmlformats.org/spreadsheetml/2006/main" count="556" uniqueCount="263">
  <si>
    <t>Cct n°10</t>
  </si>
  <si>
    <t>indexation n°1</t>
  </si>
  <si>
    <t>indexation n°2</t>
  </si>
  <si>
    <t>indexation n°3</t>
  </si>
  <si>
    <t>indexation n°4</t>
  </si>
  <si>
    <t>indexation n°5</t>
  </si>
  <si>
    <t>indexation n°6</t>
  </si>
  <si>
    <t>indexation n°7</t>
  </si>
  <si>
    <t>indexation n°8</t>
  </si>
  <si>
    <t>indexation n°9</t>
  </si>
  <si>
    <t>indexation n°10</t>
  </si>
  <si>
    <t>indexation n°11</t>
  </si>
  <si>
    <t>indexation n°12</t>
  </si>
  <si>
    <t>indexation n°13</t>
  </si>
  <si>
    <t>indexation n°14</t>
  </si>
  <si>
    <t>indexation n°15</t>
  </si>
  <si>
    <t>indexation n°16</t>
  </si>
  <si>
    <t>indexation n°17</t>
  </si>
  <si>
    <t>indexation n°18</t>
  </si>
  <si>
    <t>indexation n°19</t>
  </si>
  <si>
    <t>indexation n°20</t>
  </si>
  <si>
    <t>indexation n°21</t>
  </si>
  <si>
    <t>indexation n°22</t>
  </si>
  <si>
    <t>indexation n°23</t>
  </si>
  <si>
    <t>indexation n°24</t>
  </si>
  <si>
    <t>indexation n°25</t>
  </si>
  <si>
    <t>indexation n°26</t>
  </si>
  <si>
    <t>indexation n°27</t>
  </si>
  <si>
    <t>indexation n°28</t>
  </si>
  <si>
    <t>indexation n°29</t>
  </si>
  <si>
    <t>indexation n°30</t>
  </si>
  <si>
    <t>indexation n°31</t>
  </si>
  <si>
    <t>indexation n°32</t>
  </si>
  <si>
    <t>indexation n°33</t>
  </si>
  <si>
    <t>indexation n°34</t>
  </si>
  <si>
    <t>indexation n°35</t>
  </si>
  <si>
    <t>indexation n°36</t>
  </si>
  <si>
    <t>indexation n°37</t>
  </si>
  <si>
    <t>indexation n°38</t>
  </si>
  <si>
    <t>indexation n°39</t>
  </si>
  <si>
    <t>indexation n°40</t>
  </si>
  <si>
    <t>indexation n°41</t>
  </si>
  <si>
    <t>indexation n°42</t>
  </si>
  <si>
    <t>indexation n°43</t>
  </si>
  <si>
    <t>indexation n°44</t>
  </si>
  <si>
    <t>indexation n°45</t>
  </si>
  <si>
    <t>indexation n°46</t>
  </si>
  <si>
    <t>indexation n°47</t>
  </si>
  <si>
    <t>indexation n°48</t>
  </si>
  <si>
    <t>indexation n°49</t>
  </si>
  <si>
    <t>indexation n°50</t>
  </si>
  <si>
    <t>indexation n°51</t>
  </si>
  <si>
    <t>01.02.2002</t>
  </si>
  <si>
    <t>indexation n°52</t>
  </si>
  <si>
    <t>indexation n°53</t>
  </si>
  <si>
    <t>indexation n°54</t>
  </si>
  <si>
    <t>indexation n°55</t>
  </si>
  <si>
    <t>indexation n°56</t>
  </si>
  <si>
    <t>indexation n°57</t>
  </si>
  <si>
    <t>indexation n°58</t>
  </si>
  <si>
    <t>indexation n°59</t>
  </si>
  <si>
    <t>indexation n°60</t>
  </si>
  <si>
    <t>indexation n°61</t>
  </si>
  <si>
    <t>indexation n°62</t>
  </si>
  <si>
    <t>indexation n°63</t>
  </si>
  <si>
    <t>indexation n°64</t>
  </si>
  <si>
    <t>01.09.2018</t>
  </si>
  <si>
    <t>01.06.2017</t>
  </si>
  <si>
    <t>01.06.2016</t>
  </si>
  <si>
    <t>01.12.2012</t>
  </si>
  <si>
    <t>01.02.2012</t>
  </si>
  <si>
    <t>01.05.2011</t>
  </si>
  <si>
    <t>01.09.2010</t>
  </si>
  <si>
    <t>01.09.2008</t>
  </si>
  <si>
    <t>01.05.2008</t>
  </si>
  <si>
    <t>01.01.2008</t>
  </si>
  <si>
    <t>01.10.2006</t>
  </si>
  <si>
    <t>01.08.2005</t>
  </si>
  <si>
    <t>01.10.2004</t>
  </si>
  <si>
    <t>01.06.2003</t>
  </si>
  <si>
    <t>01.06.2001</t>
  </si>
  <si>
    <t>01.09.2000</t>
  </si>
  <si>
    <t>01.06.1999</t>
  </si>
  <si>
    <t>01.01.1999</t>
  </si>
  <si>
    <t>01.10.1997</t>
  </si>
  <si>
    <t>01.05.1996</t>
  </si>
  <si>
    <t>01.12.1994</t>
  </si>
  <si>
    <t>01.07.1993</t>
  </si>
  <si>
    <t>01.11.1992</t>
  </si>
  <si>
    <t>01.12.1991</t>
  </si>
  <si>
    <t>01.11.1990</t>
  </si>
  <si>
    <t>CCT n° 43</t>
  </si>
  <si>
    <t>01.10.2008</t>
  </si>
  <si>
    <t>01.01.2015</t>
  </si>
  <si>
    <t>Date</t>
  </si>
  <si>
    <t>AIP 02.02.2007 montant de base</t>
  </si>
  <si>
    <t xml:space="preserve">AIP 02.02.2007 3e phase </t>
  </si>
  <si>
    <t>21 ans et plus</t>
  </si>
  <si>
    <t>18 ans et plus</t>
  </si>
  <si>
    <t>21,5 ans + 6 mois d'ancienneté</t>
  </si>
  <si>
    <t>22 ans  + 12 mois d'ancienneté</t>
  </si>
  <si>
    <t>19 ans + 6 mois d'ancienneté</t>
  </si>
  <si>
    <t>20 ans + 12 mois d'ancienneté</t>
  </si>
  <si>
    <t>indexation n° 2</t>
  </si>
  <si>
    <t>indexation n° 3</t>
  </si>
  <si>
    <t>indexation n° 6</t>
  </si>
  <si>
    <t>indexation n° 7</t>
  </si>
  <si>
    <t>CCT n°49</t>
  </si>
  <si>
    <t>par heure</t>
  </si>
  <si>
    <t>01.05.1991</t>
  </si>
  <si>
    <t>entrée en vigueur</t>
  </si>
  <si>
    <t>01.01.2002</t>
  </si>
  <si>
    <t>par heure (feb)</t>
  </si>
  <si>
    <t>indexation n° 20</t>
  </si>
  <si>
    <t>indexation n° 21</t>
  </si>
  <si>
    <t>indexation n° 22</t>
  </si>
  <si>
    <t>indexation n° 23</t>
  </si>
  <si>
    <t>indexation n° 24</t>
  </si>
  <si>
    <t>indexation n° 25</t>
  </si>
  <si>
    <t>CCT n° 17</t>
  </si>
  <si>
    <t>indexation n° 1</t>
  </si>
  <si>
    <t>01.01.2000</t>
  </si>
  <si>
    <t>coefficient de revalorisation 1,01</t>
  </si>
  <si>
    <t>01.01.2001</t>
  </si>
  <si>
    <t>coefficient de revalorisation 1,012</t>
  </si>
  <si>
    <t>01.01.2003</t>
  </si>
  <si>
    <t>coefficient de revalorisation 1,014</t>
  </si>
  <si>
    <t>indexation n° 4</t>
  </si>
  <si>
    <t>01.01.2004</t>
  </si>
  <si>
    <t>coefficient de revalorisation 1,004</t>
  </si>
  <si>
    <t>indexation n° 5</t>
  </si>
  <si>
    <t>01.01.2005</t>
  </si>
  <si>
    <t>coefficient de revalorisation 1,022</t>
  </si>
  <si>
    <t>01.01.2006</t>
  </si>
  <si>
    <t>01.01.2007</t>
  </si>
  <si>
    <t>coefficient de revalorisation 1,006</t>
  </si>
  <si>
    <t>coefficient de revalorisation 1,002</t>
  </si>
  <si>
    <t>indexation n° 8</t>
  </si>
  <si>
    <t>indexation n° 9</t>
  </si>
  <si>
    <t>indexation n° 10</t>
  </si>
  <si>
    <t>01.01.2009</t>
  </si>
  <si>
    <t>coefficient de revalorisation 1,0048</t>
  </si>
  <si>
    <t>indexation n° 11</t>
  </si>
  <si>
    <t>01.01.2011</t>
  </si>
  <si>
    <t>coefficient de revalorisation 1,0024</t>
  </si>
  <si>
    <t>indexation n° 12</t>
  </si>
  <si>
    <t>indexation n° 13</t>
  </si>
  <si>
    <t>indexation n° 14</t>
  </si>
  <si>
    <t>01.01.2013</t>
  </si>
  <si>
    <t>01.01.2016</t>
  </si>
  <si>
    <t>coefficient de revalorisation 1,0016</t>
  </si>
  <si>
    <t>indexation n° 15</t>
  </si>
  <si>
    <t>indexation n° 16</t>
  </si>
  <si>
    <t>01.01.2018</t>
  </si>
  <si>
    <t>coefficient de revalorisation 1,0036</t>
  </si>
  <si>
    <t>indexation n° 17</t>
  </si>
  <si>
    <t>01.01.2020</t>
  </si>
  <si>
    <t>coefficient de revalorisation 1,0128</t>
  </si>
  <si>
    <t>indexation n° 18</t>
  </si>
  <si>
    <t>CCT n° 55</t>
  </si>
  <si>
    <t>CCT n° 46</t>
  </si>
  <si>
    <t>01.05.1990</t>
  </si>
  <si>
    <t>01.03.1991</t>
  </si>
  <si>
    <t>01.01.1992</t>
  </si>
  <si>
    <t>01.01.1993</t>
  </si>
  <si>
    <t>01.01.1994</t>
  </si>
  <si>
    <t>coefficient de revalorisation 1,016</t>
  </si>
  <si>
    <t>01.01.1998</t>
  </si>
  <si>
    <t>coefficient de revaloration 1,022</t>
  </si>
  <si>
    <t>coefficient de revaloration 1,004</t>
  </si>
  <si>
    <t>indexation n° 19</t>
  </si>
  <si>
    <t>indexation n° 26</t>
  </si>
  <si>
    <t>indexation n° 27</t>
  </si>
  <si>
    <t>Modification</t>
  </si>
  <si>
    <t>Entrée en vigueur (1971)</t>
  </si>
  <si>
    <t>01.05.1973</t>
  </si>
  <si>
    <t>01.01.1990</t>
  </si>
  <si>
    <t>01.06.1993</t>
  </si>
  <si>
    <t>01.10.1994</t>
  </si>
  <si>
    <t>01.04.1996</t>
  </si>
  <si>
    <t>01.09.1997</t>
  </si>
  <si>
    <t>01.05.1999</t>
  </si>
  <si>
    <t>01.08.2000</t>
  </si>
  <si>
    <t>montant fb</t>
  </si>
  <si>
    <t>Montant eur</t>
  </si>
  <si>
    <t>13.07.1993</t>
  </si>
  <si>
    <t>eur</t>
  </si>
  <si>
    <t>nouveau montant de base cct n° 17</t>
  </si>
  <si>
    <t>conversion en euro</t>
  </si>
  <si>
    <t>01.07.1975</t>
  </si>
  <si>
    <t>Montant</t>
  </si>
  <si>
    <t>Montant (fb)</t>
  </si>
  <si>
    <t>Montant (eur)</t>
  </si>
  <si>
    <t>Montant normal</t>
  </si>
  <si>
    <t>Montant à partir de 50 ans</t>
  </si>
  <si>
    <t>Limite de la rémunération nette de référence</t>
  </si>
  <si>
    <t>Limite de la moitié de la rémunération nette de référence</t>
  </si>
  <si>
    <t>01.10.1990</t>
  </si>
  <si>
    <t>01.10.1992</t>
  </si>
  <si>
    <t>indexation n° 65</t>
  </si>
  <si>
    <t>indexation n° 66</t>
  </si>
  <si>
    <t>01.09.1975</t>
  </si>
  <si>
    <t>01.12.1975</t>
  </si>
  <si>
    <t>01.02.1976</t>
  </si>
  <si>
    <t>01.04.1976</t>
  </si>
  <si>
    <t>01.07.1976</t>
  </si>
  <si>
    <t>01.11.1976</t>
  </si>
  <si>
    <t>01.02.1977</t>
  </si>
  <si>
    <t>01.05.1977</t>
  </si>
  <si>
    <t>01.09.1977</t>
  </si>
  <si>
    <t>01.01.1978</t>
  </si>
  <si>
    <t>01.09.1978</t>
  </si>
  <si>
    <t>01.02.1979</t>
  </si>
  <si>
    <t>01.08.1979</t>
  </si>
  <si>
    <t>01.12.1979</t>
  </si>
  <si>
    <t>01.03.1980</t>
  </si>
  <si>
    <t>01.07.1980</t>
  </si>
  <si>
    <t>01.11.1980</t>
  </si>
  <si>
    <t>01.01.1981</t>
  </si>
  <si>
    <t>01.04.1981</t>
  </si>
  <si>
    <t>01.09.1981</t>
  </si>
  <si>
    <t>01.11.1981</t>
  </si>
  <si>
    <t>01.02.1982</t>
  </si>
  <si>
    <t>01.05.1982</t>
  </si>
  <si>
    <t>01.08.1982</t>
  </si>
  <si>
    <t>01.10.1982</t>
  </si>
  <si>
    <t>01.12.1982</t>
  </si>
  <si>
    <t>01.04.1983</t>
  </si>
  <si>
    <t>01.09.1983</t>
  </si>
  <si>
    <t>01.01.1984</t>
  </si>
  <si>
    <t>01.05.1984</t>
  </si>
  <si>
    <t>01.08.1984</t>
  </si>
  <si>
    <t>01.01.1985</t>
  </si>
  <si>
    <t>01.06.1985</t>
  </si>
  <si>
    <t>01.10.1985</t>
  </si>
  <si>
    <t>01.06.1987</t>
  </si>
  <si>
    <t>01.11.1988</t>
  </si>
  <si>
    <t>01.07.1989</t>
  </si>
  <si>
    <t>01.02.1990</t>
  </si>
  <si>
    <t>01.03.2020</t>
  </si>
  <si>
    <t>coefficient de revalorisation 1,010</t>
  </si>
  <si>
    <t>prendre le montant de base en euro arrondi à 2 chiffres après la virgule</t>
  </si>
  <si>
    <t>coefficient d'indexation</t>
  </si>
  <si>
    <t>voir art 4 loi 2 août 1971: arrondir le coefficient d'indexation à 4 chiffres après la virgule</t>
  </si>
  <si>
    <t>Coefficient d'indexation</t>
  </si>
  <si>
    <r>
      <rPr>
        <b/>
        <sz val="11"/>
        <color theme="1"/>
        <rFont val="Calibri"/>
        <family val="2"/>
        <scheme val="minor"/>
      </rPr>
      <t>Nouveau montant de base</t>
    </r>
    <r>
      <rPr>
        <sz val="11"/>
        <color theme="1"/>
        <rFont val="Calibri"/>
        <family val="2"/>
        <scheme val="minor"/>
      </rPr>
      <t xml:space="preserve"> (1975)</t>
    </r>
  </si>
  <si>
    <t>prendre le montant de base en euro arrondi à la deuxième décimale</t>
  </si>
  <si>
    <t>voir art 4 loi 1971: arrondir le coefficient d'indexation à 4 chiffres après la virgule</t>
  </si>
  <si>
    <t>voir art 4 loi du 2 août 1971: arrondir le coefficient d'indexation à 4 chiffres après la virgule</t>
  </si>
  <si>
    <t>coefficient de revalorisation 1,0032</t>
  </si>
  <si>
    <t>01.01.2021</t>
  </si>
  <si>
    <t>indexation n° 67</t>
  </si>
  <si>
    <t>01.09.2021</t>
  </si>
  <si>
    <t>indexation n° 68</t>
  </si>
  <si>
    <t>indexation n° 28</t>
  </si>
  <si>
    <t>résultat NET arrondi à l'euro supérieur</t>
  </si>
  <si>
    <t>nouveau montant de base</t>
  </si>
  <si>
    <t>15.07.2021</t>
  </si>
  <si>
    <t>cofficient de revalorisation 1,0026</t>
  </si>
  <si>
    <t>coefficient de revalorisation 1,0026</t>
  </si>
  <si>
    <t>01.01.2022</t>
  </si>
  <si>
    <t>19 ans + 6 mois d'ancienneeté</t>
  </si>
  <si>
    <t>indexation n°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</si>
</sst>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000"/>
  </numFmts>
  <fonts count="7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0" fillId="0" borderId="0" xfId="0" applyAlignment="1" applyProtection="1">
      <protection locked="0"/>
    </xf>
    <xf numFmtId="0" fontId="3" fillId="0" borderId="0" xfId="0" applyFont="1"/>
    <xf numFmtId="0" fontId="4" fillId="0" borderId="0" xfId="0" applyFont="1"/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2" fontId="6" fillId="0" borderId="0" xfId="0" applyNumberFormat="1" applyFont="1"/>
    <xf numFmtId="164" fontId="6" fillId="0" borderId="0" xfId="0" applyNumberFormat="1" applyFont="1"/>
    <xf numFmtId="2" fontId="2" fillId="0" borderId="0" xfId="0" applyNumberFormat="1" applyFont="1"/>
    <xf numFmtId="0" fontId="6" fillId="0" borderId="0" xfId="0" applyFont="1"/>
    <xf numFmtId="0" fontId="5" fillId="0" borderId="0" xfId="0" applyFont="1"/>
    <xf numFmtId="1" fontId="0" fillId="0" borderId="0" xfId="0" applyNumberFormat="1"/>
    <xf numFmtId="1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4"/>
  <sheetViews>
    <sheetView topLeftCell="A61" workbookViewId="0">
      <selection activeCell="A74" sqref="A74"/>
    </sheetView>
  </sheetViews>
  <sheetFormatPr defaultColWidth="11.5546875" defaultRowHeight="14.4" x14ac:dyDescent="0.3"/>
  <cols>
    <col min="5" max="5" width="12" bestFit="1" customWidth="1"/>
  </cols>
  <sheetData>
    <row r="1" spans="1:14" x14ac:dyDescent="0.3">
      <c r="B1" s="1" t="s">
        <v>0</v>
      </c>
      <c r="C1" t="s">
        <v>255</v>
      </c>
      <c r="H1" s="6" t="s">
        <v>247</v>
      </c>
    </row>
    <row r="2" spans="1:14" x14ac:dyDescent="0.3">
      <c r="B2" s="1"/>
      <c r="H2" s="14" t="s">
        <v>246</v>
      </c>
    </row>
    <row r="4" spans="1:14" x14ac:dyDescent="0.3">
      <c r="A4" s="2" t="s">
        <v>94</v>
      </c>
      <c r="B4" s="2" t="s">
        <v>173</v>
      </c>
      <c r="E4" s="2" t="s">
        <v>184</v>
      </c>
      <c r="F4" s="2" t="s">
        <v>183</v>
      </c>
      <c r="G4" s="2" t="s">
        <v>244</v>
      </c>
      <c r="H4" s="5"/>
    </row>
    <row r="5" spans="1:14" x14ac:dyDescent="0.3">
      <c r="A5" t="s">
        <v>175</v>
      </c>
      <c r="B5" s="3" t="s">
        <v>174</v>
      </c>
      <c r="E5">
        <f>28158/40.3399</f>
        <v>698.01858705648749</v>
      </c>
      <c r="F5">
        <v>28158</v>
      </c>
    </row>
    <row r="6" spans="1:14" x14ac:dyDescent="0.3">
      <c r="A6" t="s">
        <v>189</v>
      </c>
      <c r="B6" t="s">
        <v>245</v>
      </c>
      <c r="E6" s="9">
        <f>37925/40.3399</f>
        <v>940.13619270251047</v>
      </c>
      <c r="F6">
        <v>37925</v>
      </c>
      <c r="N6" s="8"/>
    </row>
    <row r="7" spans="1:14" x14ac:dyDescent="0.3">
      <c r="A7" t="s">
        <v>201</v>
      </c>
      <c r="B7" t="s">
        <v>120</v>
      </c>
      <c r="E7" s="9">
        <f>940.14*1.02</f>
        <v>958.94280000000003</v>
      </c>
      <c r="G7" s="10">
        <v>1.02</v>
      </c>
      <c r="N7" s="7"/>
    </row>
    <row r="8" spans="1:14" x14ac:dyDescent="0.3">
      <c r="A8" t="s">
        <v>202</v>
      </c>
      <c r="B8" s="4" t="s">
        <v>103</v>
      </c>
      <c r="E8" s="9">
        <f>940.14*1.0404</f>
        <v>978.12165600000003</v>
      </c>
      <c r="G8" s="11">
        <f>1.02^2</f>
        <v>1.0404</v>
      </c>
      <c r="N8" s="8"/>
    </row>
    <row r="9" spans="1:14" x14ac:dyDescent="0.3">
      <c r="A9" t="s">
        <v>203</v>
      </c>
      <c r="B9" t="s">
        <v>104</v>
      </c>
      <c r="E9" s="9">
        <f>940.14*1.0612</f>
        <v>997.67656799999986</v>
      </c>
      <c r="G9" s="11">
        <f>1.02^3</f>
        <v>1.0612079999999999</v>
      </c>
    </row>
    <row r="10" spans="1:14" x14ac:dyDescent="0.3">
      <c r="A10" t="s">
        <v>204</v>
      </c>
      <c r="B10" t="s">
        <v>4</v>
      </c>
      <c r="E10" s="9">
        <f>940.14*1.0824</f>
        <v>1017.607536</v>
      </c>
      <c r="G10" s="11">
        <f>1.02^4</f>
        <v>1.08243216</v>
      </c>
    </row>
    <row r="11" spans="1:14" x14ac:dyDescent="0.3">
      <c r="A11" t="s">
        <v>205</v>
      </c>
      <c r="B11" t="s">
        <v>5</v>
      </c>
      <c r="E11" s="9">
        <f>940.14*1.1041</f>
        <v>1038.008574</v>
      </c>
      <c r="G11" s="11">
        <f>1.02^5</f>
        <v>1.1040808032</v>
      </c>
    </row>
    <row r="12" spans="1:14" x14ac:dyDescent="0.3">
      <c r="A12" t="s">
        <v>206</v>
      </c>
      <c r="B12" t="s">
        <v>6</v>
      </c>
      <c r="E12" s="9">
        <f>940.14*1.1262</f>
        <v>1058.785668</v>
      </c>
      <c r="G12" s="11">
        <f>1.02^6</f>
        <v>1.1261624192640001</v>
      </c>
    </row>
    <row r="13" spans="1:14" x14ac:dyDescent="0.3">
      <c r="A13" t="s">
        <v>207</v>
      </c>
      <c r="B13" t="s">
        <v>7</v>
      </c>
      <c r="E13" s="9">
        <f>940.14*1.1487</f>
        <v>1079.9388180000001</v>
      </c>
      <c r="G13" s="11">
        <f>1.02^7</f>
        <v>1.1486856676492798</v>
      </c>
    </row>
    <row r="14" spans="1:14" x14ac:dyDescent="0.3">
      <c r="A14" t="s">
        <v>208</v>
      </c>
      <c r="B14" t="s">
        <v>8</v>
      </c>
      <c r="E14" s="9">
        <f>940.14*1.1717</f>
        <v>1101.562038</v>
      </c>
      <c r="G14" s="11">
        <f>1.02^8</f>
        <v>1.1716593810022655</v>
      </c>
    </row>
    <row r="15" spans="1:14" x14ac:dyDescent="0.3">
      <c r="A15" t="s">
        <v>209</v>
      </c>
      <c r="B15" t="s">
        <v>9</v>
      </c>
      <c r="E15" s="9">
        <f>940.14*1.1951</f>
        <v>1123.561314</v>
      </c>
      <c r="G15" s="11">
        <f>1.02^9</f>
        <v>1.1950925686223108</v>
      </c>
    </row>
    <row r="16" spans="1:14" x14ac:dyDescent="0.3">
      <c r="A16" t="s">
        <v>210</v>
      </c>
      <c r="B16" t="s">
        <v>10</v>
      </c>
      <c r="E16" s="9">
        <f>940.14*1.219</f>
        <v>1146.0306600000001</v>
      </c>
      <c r="G16" s="11">
        <f>1.02^10</f>
        <v>1.2189944199947571</v>
      </c>
    </row>
    <row r="17" spans="1:7" x14ac:dyDescent="0.3">
      <c r="A17" t="s">
        <v>211</v>
      </c>
      <c r="B17" t="s">
        <v>11</v>
      </c>
      <c r="E17" s="9">
        <f>940.14*1.2434</f>
        <v>1168.9700760000001</v>
      </c>
      <c r="G17" s="11">
        <f>1.02^11</f>
        <v>1.243374308394652</v>
      </c>
    </row>
    <row r="18" spans="1:7" x14ac:dyDescent="0.3">
      <c r="A18" t="s">
        <v>212</v>
      </c>
      <c r="B18" t="s">
        <v>12</v>
      </c>
      <c r="E18" s="9">
        <f>940.14*1.2682</f>
        <v>1192.2855480000001</v>
      </c>
      <c r="G18" s="11">
        <f>1.02^12</f>
        <v>1.2682417945625453</v>
      </c>
    </row>
    <row r="19" spans="1:7" x14ac:dyDescent="0.3">
      <c r="A19" t="s">
        <v>213</v>
      </c>
      <c r="B19" t="s">
        <v>13</v>
      </c>
      <c r="E19" s="9">
        <f>940.14*1.2936</f>
        <v>1216.1651040000002</v>
      </c>
      <c r="G19" s="11">
        <f>1.02^13</f>
        <v>1.2936066304537961</v>
      </c>
    </row>
    <row r="20" spans="1:7" x14ac:dyDescent="0.3">
      <c r="A20" t="s">
        <v>214</v>
      </c>
      <c r="B20" t="s">
        <v>14</v>
      </c>
      <c r="E20" s="9">
        <f>940.14*1.3195</f>
        <v>1240.5147299999999</v>
      </c>
      <c r="G20" s="11">
        <f>1.02^14</f>
        <v>1.3194787630628722</v>
      </c>
    </row>
    <row r="21" spans="1:7" x14ac:dyDescent="0.3">
      <c r="A21" t="s">
        <v>215</v>
      </c>
      <c r="B21" t="s">
        <v>15</v>
      </c>
      <c r="E21" s="9">
        <f>940.14*1.3459</f>
        <v>1265.3344260000001</v>
      </c>
      <c r="G21" s="11">
        <f>1.02^15</f>
        <v>1.3458683383241292</v>
      </c>
    </row>
    <row r="22" spans="1:7" x14ac:dyDescent="0.3">
      <c r="A22" t="s">
        <v>216</v>
      </c>
      <c r="B22" t="s">
        <v>16</v>
      </c>
      <c r="E22" s="9">
        <f>940.14*1.3728</f>
        <v>1290.624192</v>
      </c>
      <c r="G22" s="11">
        <f>1.02^16</f>
        <v>1.372785705090612</v>
      </c>
    </row>
    <row r="23" spans="1:7" x14ac:dyDescent="0.3">
      <c r="A23" t="s">
        <v>217</v>
      </c>
      <c r="B23" t="s">
        <v>17</v>
      </c>
      <c r="E23" s="9">
        <f>940.14*1.4002</f>
        <v>1316.3840279999999</v>
      </c>
      <c r="G23" s="11">
        <f>1.02^17</f>
        <v>1.4002414191924244</v>
      </c>
    </row>
    <row r="24" spans="1:7" x14ac:dyDescent="0.3">
      <c r="A24" t="s">
        <v>218</v>
      </c>
      <c r="B24" t="s">
        <v>18</v>
      </c>
      <c r="E24" s="9">
        <f>940.14*1.4282</f>
        <v>1342.707948</v>
      </c>
      <c r="G24" s="11">
        <f>1.02^18</f>
        <v>1.4282462475762727</v>
      </c>
    </row>
    <row r="25" spans="1:7" x14ac:dyDescent="0.3">
      <c r="A25" t="s">
        <v>219</v>
      </c>
      <c r="B25" t="s">
        <v>19</v>
      </c>
      <c r="E25" s="9">
        <f>940.14*1.4568</f>
        <v>1369.5959520000001</v>
      </c>
      <c r="G25" s="11">
        <f>1.02^19</f>
        <v>1.4568111725277981</v>
      </c>
    </row>
    <row r="26" spans="1:7" x14ac:dyDescent="0.3">
      <c r="A26" t="s">
        <v>220</v>
      </c>
      <c r="B26" t="s">
        <v>20</v>
      </c>
      <c r="E26" s="9">
        <f>940.14*1.4859</f>
        <v>1396.9540259999999</v>
      </c>
      <c r="G26" s="11">
        <f>1.02^20</f>
        <v>1.4859473959783542</v>
      </c>
    </row>
    <row r="27" spans="1:7" x14ac:dyDescent="0.3">
      <c r="A27" t="s">
        <v>221</v>
      </c>
      <c r="B27" t="s">
        <v>21</v>
      </c>
      <c r="E27" s="9">
        <f>940.14*1.5157</f>
        <v>1424.970198</v>
      </c>
      <c r="G27" s="11">
        <f>1.02^21</f>
        <v>1.5156663438979212</v>
      </c>
    </row>
    <row r="28" spans="1:7" x14ac:dyDescent="0.3">
      <c r="A28" t="s">
        <v>222</v>
      </c>
      <c r="B28" t="s">
        <v>22</v>
      </c>
      <c r="E28" s="9">
        <f>940.14*1.546</f>
        <v>1453.4564399999999</v>
      </c>
      <c r="G28" s="11">
        <f>1.02^22</f>
        <v>1.5459796707758797</v>
      </c>
    </row>
    <row r="29" spans="1:7" x14ac:dyDescent="0.3">
      <c r="A29" t="s">
        <v>223</v>
      </c>
      <c r="B29" t="s">
        <v>23</v>
      </c>
      <c r="E29" s="9">
        <f>940.14*1.5769</f>
        <v>1482.506766</v>
      </c>
      <c r="G29" s="11">
        <f>1.02^23</f>
        <v>1.576899264191397</v>
      </c>
    </row>
    <row r="30" spans="1:7" x14ac:dyDescent="0.3">
      <c r="A30" t="s">
        <v>224</v>
      </c>
      <c r="B30" t="s">
        <v>24</v>
      </c>
      <c r="E30" s="9">
        <f>940.14*1.6084</f>
        <v>1512.1211760000001</v>
      </c>
      <c r="G30" s="11">
        <f>1.02^24</f>
        <v>1.608437249475225</v>
      </c>
    </row>
    <row r="31" spans="1:7" x14ac:dyDescent="0.3">
      <c r="A31" t="s">
        <v>225</v>
      </c>
      <c r="B31" t="s">
        <v>25</v>
      </c>
      <c r="E31" s="9">
        <f>940.14*1.6406</f>
        <v>1542.3936840000001</v>
      </c>
      <c r="G31" s="11">
        <f>1.02^25</f>
        <v>1.6406059944647295</v>
      </c>
    </row>
    <row r="32" spans="1:7" x14ac:dyDescent="0.3">
      <c r="A32" t="s">
        <v>226</v>
      </c>
      <c r="B32" t="s">
        <v>26</v>
      </c>
      <c r="E32" s="9">
        <f>940.14*1.6734</f>
        <v>1573.230276</v>
      </c>
      <c r="G32" s="11">
        <f>1.02^26</f>
        <v>1.6734181143540243</v>
      </c>
    </row>
    <row r="33" spans="1:7" x14ac:dyDescent="0.3">
      <c r="A33" t="s">
        <v>227</v>
      </c>
      <c r="B33" t="s">
        <v>27</v>
      </c>
      <c r="E33" s="9">
        <f>940.14*1.7069</f>
        <v>1604.724966</v>
      </c>
      <c r="G33" s="11">
        <f>1.02^27</f>
        <v>1.7068864766411045</v>
      </c>
    </row>
    <row r="34" spans="1:7" x14ac:dyDescent="0.3">
      <c r="A34" t="s">
        <v>228</v>
      </c>
      <c r="B34" t="s">
        <v>28</v>
      </c>
      <c r="E34" s="9">
        <f>940.14*1.741</f>
        <v>1636.7837400000001</v>
      </c>
      <c r="G34" s="11">
        <f>1.02^28</f>
        <v>1.7410242061739269</v>
      </c>
    </row>
    <row r="35" spans="1:7" x14ac:dyDescent="0.3">
      <c r="A35" t="s">
        <v>229</v>
      </c>
      <c r="B35" t="s">
        <v>29</v>
      </c>
      <c r="E35" s="9">
        <f>940.14*1.7758</f>
        <v>1669.500612</v>
      </c>
      <c r="G35" s="11">
        <f>1.02^29</f>
        <v>1.7758446902974052</v>
      </c>
    </row>
    <row r="36" spans="1:7" x14ac:dyDescent="0.3">
      <c r="A36" t="s">
        <v>230</v>
      </c>
      <c r="B36" t="s">
        <v>30</v>
      </c>
      <c r="E36" s="9">
        <f>940.14*1.8114</f>
        <v>1702.9695959999999</v>
      </c>
      <c r="G36" s="11">
        <f>1.02^30</f>
        <v>1.8113615841033535</v>
      </c>
    </row>
    <row r="37" spans="1:7" x14ac:dyDescent="0.3">
      <c r="A37" t="s">
        <v>231</v>
      </c>
      <c r="B37" t="s">
        <v>31</v>
      </c>
      <c r="E37" s="9">
        <f>940.14*1.8476</f>
        <v>1737.0026639999999</v>
      </c>
      <c r="G37" s="11">
        <f>1.02^31</f>
        <v>1.8475888157854201</v>
      </c>
    </row>
    <row r="38" spans="1:7" x14ac:dyDescent="0.3">
      <c r="A38" t="s">
        <v>232</v>
      </c>
      <c r="B38" t="s">
        <v>32</v>
      </c>
      <c r="E38" s="9">
        <f>940.14*1.8845</f>
        <v>1771.6938299999999</v>
      </c>
      <c r="G38" s="11">
        <f>1.02^32</f>
        <v>1.8845405921011289</v>
      </c>
    </row>
    <row r="39" spans="1:7" x14ac:dyDescent="0.3">
      <c r="A39" t="s">
        <v>233</v>
      </c>
      <c r="B39" t="s">
        <v>33</v>
      </c>
      <c r="E39" s="9">
        <f>940.14*1.9222</f>
        <v>1807.1371079999999</v>
      </c>
      <c r="G39" s="11">
        <f>1.02^33</f>
        <v>1.9222314039431516</v>
      </c>
    </row>
    <row r="40" spans="1:7" x14ac:dyDescent="0.3">
      <c r="A40" t="s">
        <v>234</v>
      </c>
      <c r="B40" t="s">
        <v>34</v>
      </c>
      <c r="E40" s="9">
        <f>940.14*1.9607</f>
        <v>1843.332498</v>
      </c>
      <c r="G40" s="11">
        <f>1.02^34</f>
        <v>1.9606760320220145</v>
      </c>
    </row>
    <row r="41" spans="1:7" x14ac:dyDescent="0.3">
      <c r="A41" t="s">
        <v>235</v>
      </c>
      <c r="B41" t="s">
        <v>35</v>
      </c>
      <c r="E41" s="9">
        <f>940.14*1.9999</f>
        <v>1880.185986</v>
      </c>
      <c r="G41" s="11">
        <f>1.02^35</f>
        <v>1.9998895526624547</v>
      </c>
    </row>
    <row r="42" spans="1:7" x14ac:dyDescent="0.3">
      <c r="A42" t="s">
        <v>236</v>
      </c>
      <c r="B42" t="s">
        <v>36</v>
      </c>
      <c r="E42" s="9">
        <f>940.14*2.0399</f>
        <v>1917.7915859999998</v>
      </c>
      <c r="G42" s="11">
        <f>1.02^36</f>
        <v>2.0398873437157037</v>
      </c>
    </row>
    <row r="43" spans="1:7" x14ac:dyDescent="0.3">
      <c r="A43" t="s">
        <v>237</v>
      </c>
      <c r="B43" t="s">
        <v>37</v>
      </c>
      <c r="E43" s="9">
        <f>940.14*2.0807</f>
        <v>1956.1492980000003</v>
      </c>
      <c r="G43" s="11">
        <f>1.02^37</f>
        <v>2.080685090590018</v>
      </c>
    </row>
    <row r="44" spans="1:7" x14ac:dyDescent="0.3">
      <c r="A44" t="s">
        <v>176</v>
      </c>
      <c r="B44" t="s">
        <v>38</v>
      </c>
      <c r="E44" s="9">
        <f>940.14*2.1223</f>
        <v>1995.2591219999999</v>
      </c>
      <c r="G44" s="11">
        <f>1.02^38</f>
        <v>2.1222987924018186</v>
      </c>
    </row>
    <row r="45" spans="1:7" x14ac:dyDescent="0.3">
      <c r="A45" t="s">
        <v>238</v>
      </c>
      <c r="B45" t="s">
        <v>39</v>
      </c>
      <c r="E45" s="9">
        <f>940.14*2.1647</f>
        <v>2035.1210579999997</v>
      </c>
      <c r="G45" s="11">
        <f>1.02^39</f>
        <v>2.1647447682498542</v>
      </c>
    </row>
    <row r="46" spans="1:7" x14ac:dyDescent="0.3">
      <c r="A46" t="s">
        <v>197</v>
      </c>
      <c r="B46" t="s">
        <v>40</v>
      </c>
      <c r="E46" s="9">
        <f>940.14*2.208</f>
        <v>2075.8291200000003</v>
      </c>
      <c r="G46" s="11">
        <f>1.02^40</f>
        <v>2.2080396636148518</v>
      </c>
    </row>
    <row r="47" spans="1:7" x14ac:dyDescent="0.3">
      <c r="A47" t="s">
        <v>162</v>
      </c>
      <c r="B47" t="s">
        <v>41</v>
      </c>
      <c r="E47" s="9">
        <f>940.14*2.2522</f>
        <v>2117.3833079999999</v>
      </c>
      <c r="G47" s="11">
        <f>1.02^41</f>
        <v>2.2522004568871488</v>
      </c>
    </row>
    <row r="48" spans="1:7" x14ac:dyDescent="0.3">
      <c r="A48" t="s">
        <v>89</v>
      </c>
      <c r="B48" t="s">
        <v>42</v>
      </c>
      <c r="E48" s="9">
        <f>940.14*2.2972</f>
        <v>2159.6896080000001</v>
      </c>
      <c r="G48" s="11">
        <f>1.02^42</f>
        <v>2.2972444660248916</v>
      </c>
    </row>
    <row r="49" spans="1:7" x14ac:dyDescent="0.3">
      <c r="A49" t="s">
        <v>198</v>
      </c>
      <c r="B49" t="s">
        <v>43</v>
      </c>
      <c r="E49" s="9">
        <f>940.14*2.3432</f>
        <v>2202.936048</v>
      </c>
      <c r="G49" s="11">
        <f>1.02^43</f>
        <v>2.3431893553453893</v>
      </c>
    </row>
    <row r="50" spans="1:7" x14ac:dyDescent="0.3">
      <c r="A50" t="s">
        <v>177</v>
      </c>
      <c r="B50" t="s">
        <v>44</v>
      </c>
      <c r="E50" s="9">
        <f>940.14*2.3901</f>
        <v>2247.0286139999998</v>
      </c>
      <c r="G50" s="11">
        <f>1.02^44</f>
        <v>2.3900531424522975</v>
      </c>
    </row>
    <row r="51" spans="1:7" x14ac:dyDescent="0.3">
      <c r="A51" t="s">
        <v>178</v>
      </c>
      <c r="B51" t="s">
        <v>45</v>
      </c>
      <c r="E51" s="9">
        <f>940.14*2.4379</f>
        <v>2291.967306</v>
      </c>
      <c r="G51" s="11">
        <f>1.02^45</f>
        <v>2.4378542053013432</v>
      </c>
    </row>
    <row r="52" spans="1:7" x14ac:dyDescent="0.3">
      <c r="A52" t="s">
        <v>179</v>
      </c>
      <c r="B52" t="s">
        <v>46</v>
      </c>
      <c r="E52" s="9">
        <f>940.14*2.4866</f>
        <v>2337.7521240000001</v>
      </c>
      <c r="G52" s="11">
        <f>1.02^46</f>
        <v>2.4866112894073704</v>
      </c>
    </row>
    <row r="53" spans="1:7" x14ac:dyDescent="0.3">
      <c r="A53" t="s">
        <v>180</v>
      </c>
      <c r="B53" t="s">
        <v>47</v>
      </c>
      <c r="E53" s="9">
        <f>940.14*2.5363</f>
        <v>2384.4770820000003</v>
      </c>
      <c r="G53" s="11">
        <f>1.02^47</f>
        <v>2.5363435151955169</v>
      </c>
    </row>
    <row r="54" spans="1:7" x14ac:dyDescent="0.3">
      <c r="A54" t="s">
        <v>181</v>
      </c>
      <c r="B54" t="s">
        <v>48</v>
      </c>
      <c r="E54" s="9">
        <f>940.14*2.5871</f>
        <v>2432.2361940000001</v>
      </c>
      <c r="G54" s="11">
        <f>1.02^48</f>
        <v>2.5870703854994277</v>
      </c>
    </row>
    <row r="55" spans="1:7" x14ac:dyDescent="0.3">
      <c r="A55" t="s">
        <v>182</v>
      </c>
      <c r="B55" t="s">
        <v>49</v>
      </c>
      <c r="E55" s="9">
        <f>940.14*2.6388</f>
        <v>2480.8414319999997</v>
      </c>
      <c r="G55" s="11">
        <f>1.02^49</f>
        <v>2.6388117932094164</v>
      </c>
    </row>
    <row r="56" spans="1:7" x14ac:dyDescent="0.3">
      <c r="A56" t="s">
        <v>80</v>
      </c>
      <c r="B56" t="s">
        <v>50</v>
      </c>
      <c r="E56" s="9">
        <f>940.14*2.6916</f>
        <v>2530.4808240000002</v>
      </c>
      <c r="G56" s="11">
        <f>1.02^50</f>
        <v>2.6915880290736047</v>
      </c>
    </row>
    <row r="57" spans="1:7" x14ac:dyDescent="0.3">
      <c r="A57" t="s">
        <v>52</v>
      </c>
      <c r="B57" t="s">
        <v>51</v>
      </c>
      <c r="E57" s="9">
        <f>940.14*2.7454</f>
        <v>2581.060356</v>
      </c>
      <c r="G57" s="11">
        <f>1.02^51</f>
        <v>2.7454197896550765</v>
      </c>
    </row>
    <row r="58" spans="1:7" x14ac:dyDescent="0.3">
      <c r="A58" t="s">
        <v>79</v>
      </c>
      <c r="B58" t="s">
        <v>53</v>
      </c>
      <c r="E58" s="9">
        <f>940.14*2.8003</f>
        <v>2632.6740420000001</v>
      </c>
      <c r="G58" s="11">
        <f>1.02^52</f>
        <v>2.8003281854481785</v>
      </c>
    </row>
    <row r="59" spans="1:7" x14ac:dyDescent="0.3">
      <c r="A59" t="s">
        <v>78</v>
      </c>
      <c r="B59" t="s">
        <v>54</v>
      </c>
      <c r="E59" s="9">
        <f>940.14*2.8563</f>
        <v>2685.3218820000002</v>
      </c>
      <c r="G59" s="11">
        <f>1.02^53</f>
        <v>2.8563347491571416</v>
      </c>
    </row>
    <row r="60" spans="1:7" x14ac:dyDescent="0.3">
      <c r="A60" t="s">
        <v>77</v>
      </c>
      <c r="B60" t="s">
        <v>55</v>
      </c>
      <c r="E60" s="9">
        <f>940.14*2.9135</f>
        <v>2739.09789</v>
      </c>
      <c r="G60" s="11">
        <f>1.02^54</f>
        <v>2.9134614441402849</v>
      </c>
    </row>
    <row r="61" spans="1:7" x14ac:dyDescent="0.3">
      <c r="A61" t="s">
        <v>76</v>
      </c>
      <c r="B61" t="s">
        <v>56</v>
      </c>
      <c r="E61" s="9">
        <f>940.14*2.9717</f>
        <v>2793.814038</v>
      </c>
      <c r="G61" s="11">
        <f>1.02^55</f>
        <v>2.9717306730230897</v>
      </c>
    </row>
    <row r="62" spans="1:7" x14ac:dyDescent="0.3">
      <c r="A62" t="s">
        <v>75</v>
      </c>
      <c r="B62" t="s">
        <v>57</v>
      </c>
      <c r="E62" s="9">
        <f>940.14*3.0312</f>
        <v>2849.7523679999999</v>
      </c>
      <c r="G62" s="11">
        <f>1.02^56</f>
        <v>3.0311652864835517</v>
      </c>
    </row>
    <row r="63" spans="1:7" x14ac:dyDescent="0.3">
      <c r="A63" t="s">
        <v>74</v>
      </c>
      <c r="B63" t="s">
        <v>58</v>
      </c>
      <c r="E63" s="9">
        <f>940.14*3.0918</f>
        <v>2906.7248520000003</v>
      </c>
      <c r="G63" s="11">
        <f>1.02^57</f>
        <v>3.0917885922132227</v>
      </c>
    </row>
    <row r="64" spans="1:7" x14ac:dyDescent="0.3">
      <c r="A64" t="s">
        <v>73</v>
      </c>
      <c r="B64" t="s">
        <v>59</v>
      </c>
      <c r="E64" s="9">
        <f>940.14*3.1536</f>
        <v>2964.8255039999999</v>
      </c>
      <c r="G64" s="11">
        <f>1.02^58</f>
        <v>3.1536243640574875</v>
      </c>
    </row>
    <row r="65" spans="1:13" x14ac:dyDescent="0.3">
      <c r="A65" t="s">
        <v>72</v>
      </c>
      <c r="B65" t="s">
        <v>60</v>
      </c>
      <c r="E65" s="9">
        <f>940.14*3.2167</f>
        <v>3024.148338</v>
      </c>
      <c r="G65" s="11">
        <f>1.02^59</f>
        <v>3.2166968513386367</v>
      </c>
    </row>
    <row r="66" spans="1:13" x14ac:dyDescent="0.3">
      <c r="A66" t="s">
        <v>71</v>
      </c>
      <c r="B66" t="s">
        <v>61</v>
      </c>
      <c r="E66" s="9">
        <f>940.14*3.281</f>
        <v>3084.5993400000002</v>
      </c>
      <c r="G66" s="11">
        <f>1.02^60</f>
        <v>3.2810307883654102</v>
      </c>
    </row>
    <row r="67" spans="1:13" x14ac:dyDescent="0.3">
      <c r="A67" t="s">
        <v>70</v>
      </c>
      <c r="B67" t="s">
        <v>62</v>
      </c>
      <c r="E67" s="9">
        <f>940.14*3.3467</f>
        <v>3146.3665379999998</v>
      </c>
      <c r="G67" s="11">
        <f>1.02^61</f>
        <v>3.346651404132718</v>
      </c>
    </row>
    <row r="68" spans="1:13" x14ac:dyDescent="0.3">
      <c r="A68" t="s">
        <v>69</v>
      </c>
      <c r="B68" t="s">
        <v>63</v>
      </c>
      <c r="E68" s="9">
        <f>940.14*3.4136</f>
        <v>3209.261904</v>
      </c>
      <c r="G68" s="11">
        <f>1.02^62</f>
        <v>3.4135844322153726</v>
      </c>
    </row>
    <row r="69" spans="1:13" x14ac:dyDescent="0.3">
      <c r="A69" t="s">
        <v>68</v>
      </c>
      <c r="B69" t="s">
        <v>64</v>
      </c>
      <c r="E69" s="9">
        <f>940.14*3.4819</f>
        <v>3273.4734659999999</v>
      </c>
      <c r="G69" s="11">
        <f>1.02^63</f>
        <v>3.4818561208596792</v>
      </c>
    </row>
    <row r="70" spans="1:13" x14ac:dyDescent="0.3">
      <c r="A70" t="s">
        <v>67</v>
      </c>
      <c r="B70" t="s">
        <v>65</v>
      </c>
      <c r="E70" s="9">
        <f>940.14*3.5515</f>
        <v>3338.9072099999998</v>
      </c>
      <c r="G70" s="11">
        <f>1.02^64</f>
        <v>3.5514932432768735</v>
      </c>
    </row>
    <row r="71" spans="1:13" x14ac:dyDescent="0.3">
      <c r="A71" t="s">
        <v>66</v>
      </c>
      <c r="B71" t="s">
        <v>199</v>
      </c>
      <c r="E71" s="9">
        <f>940.14*3.6225</f>
        <v>3405.65715</v>
      </c>
      <c r="G71" s="11">
        <f>1.02^65</f>
        <v>3.6225231081424112</v>
      </c>
    </row>
    <row r="72" spans="1:13" x14ac:dyDescent="0.3">
      <c r="A72" t="s">
        <v>239</v>
      </c>
      <c r="B72" t="s">
        <v>200</v>
      </c>
      <c r="E72" s="9">
        <f>940.14*3.695</f>
        <v>3473.8172999999997</v>
      </c>
      <c r="G72" s="11">
        <f>1.02^66</f>
        <v>3.6949735703052591</v>
      </c>
    </row>
    <row r="73" spans="1:13" x14ac:dyDescent="0.3">
      <c r="A73" t="s">
        <v>252</v>
      </c>
      <c r="B73" t="s">
        <v>251</v>
      </c>
      <c r="E73" s="9">
        <f>940.14*3.7689</f>
        <v>3543.2936460000001</v>
      </c>
      <c r="G73" s="11">
        <f>1.02^67</f>
        <v>3.7688730417113643</v>
      </c>
      <c r="I73" s="9">
        <f>37925/40.3399</f>
        <v>940.13619270251047</v>
      </c>
      <c r="M73" t="s">
        <v>255</v>
      </c>
    </row>
    <row r="74" spans="1:13" x14ac:dyDescent="0.3">
      <c r="A74" t="s">
        <v>260</v>
      </c>
      <c r="B74" t="s">
        <v>253</v>
      </c>
      <c r="E74" s="9">
        <f>940.14*3.8443</f>
        <v>3614.180202</v>
      </c>
      <c r="G74" s="11">
        <f>1.02^68</f>
        <v>3.8442505025455915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20" workbookViewId="0">
      <selection activeCell="E42" sqref="E42"/>
    </sheetView>
  </sheetViews>
  <sheetFormatPr defaultColWidth="11.5546875" defaultRowHeight="14.4" x14ac:dyDescent="0.3"/>
  <cols>
    <col min="5" max="5" width="12.44140625" bestFit="1" customWidth="1"/>
  </cols>
  <sheetData>
    <row r="1" spans="1:8" x14ac:dyDescent="0.3">
      <c r="A1" s="1" t="s">
        <v>119</v>
      </c>
      <c r="G1" s="6" t="s">
        <v>247</v>
      </c>
    </row>
    <row r="3" spans="1:8" x14ac:dyDescent="0.3">
      <c r="A3" s="2" t="s">
        <v>94</v>
      </c>
      <c r="B3" s="2" t="s">
        <v>173</v>
      </c>
      <c r="E3" s="2" t="s">
        <v>190</v>
      </c>
      <c r="G3" s="2" t="s">
        <v>244</v>
      </c>
    </row>
    <row r="4" spans="1:8" x14ac:dyDescent="0.3">
      <c r="A4" t="s">
        <v>82</v>
      </c>
      <c r="B4" t="s">
        <v>110</v>
      </c>
      <c r="E4">
        <v>105315</v>
      </c>
    </row>
    <row r="5" spans="1:8" x14ac:dyDescent="0.3">
      <c r="A5" t="s">
        <v>121</v>
      </c>
      <c r="B5" t="s">
        <v>188</v>
      </c>
      <c r="E5">
        <f>E4/40.3399</f>
        <v>2610.6906561493706</v>
      </c>
      <c r="F5">
        <v>2610.69</v>
      </c>
      <c r="H5" s="5" t="s">
        <v>241</v>
      </c>
    </row>
    <row r="6" spans="1:8" x14ac:dyDescent="0.3">
      <c r="A6" t="s">
        <v>121</v>
      </c>
      <c r="B6" t="s">
        <v>122</v>
      </c>
      <c r="E6" s="9">
        <f>E5*1.01</f>
        <v>2636.7975627108644</v>
      </c>
      <c r="F6" s="9"/>
    </row>
    <row r="7" spans="1:8" x14ac:dyDescent="0.3">
      <c r="A7" t="s">
        <v>81</v>
      </c>
      <c r="B7" t="s">
        <v>120</v>
      </c>
      <c r="E7" s="9">
        <f>E6*1.02</f>
        <v>2689.533513965082</v>
      </c>
      <c r="F7" s="9"/>
      <c r="G7" s="13">
        <v>1.02</v>
      </c>
    </row>
    <row r="8" spans="1:8" x14ac:dyDescent="0.3">
      <c r="A8" t="s">
        <v>123</v>
      </c>
      <c r="B8" t="s">
        <v>124</v>
      </c>
      <c r="E8" s="9">
        <f>E7*1.012</f>
        <v>2721.8079161326632</v>
      </c>
      <c r="F8" s="9"/>
      <c r="G8" s="13"/>
    </row>
    <row r="9" spans="1:8" x14ac:dyDescent="0.3">
      <c r="A9" t="s">
        <v>80</v>
      </c>
      <c r="B9" t="s">
        <v>103</v>
      </c>
      <c r="E9" s="9">
        <f>E5*1.01*1.012*1.0404</f>
        <v>2776.244074455316</v>
      </c>
      <c r="F9" s="9"/>
      <c r="G9" s="13">
        <f>1.02^2</f>
        <v>1.0404</v>
      </c>
    </row>
    <row r="10" spans="1:8" x14ac:dyDescent="0.3">
      <c r="A10" t="s">
        <v>111</v>
      </c>
      <c r="B10" t="s">
        <v>122</v>
      </c>
      <c r="E10" s="9">
        <f>E9*1.01</f>
        <v>2804.0065151998692</v>
      </c>
      <c r="F10" s="9"/>
      <c r="G10" s="13"/>
    </row>
    <row r="11" spans="1:8" x14ac:dyDescent="0.3">
      <c r="A11" t="s">
        <v>52</v>
      </c>
      <c r="B11" t="s">
        <v>104</v>
      </c>
      <c r="E11" s="9">
        <f>E5*1.01*1.012*1.01*1.0612</f>
        <v>2860.0650845156674</v>
      </c>
      <c r="F11" s="9"/>
      <c r="G11" s="11">
        <f>1.02^3</f>
        <v>1.0612079999999999</v>
      </c>
    </row>
    <row r="12" spans="1:8" x14ac:dyDescent="0.3">
      <c r="A12" t="s">
        <v>125</v>
      </c>
      <c r="B12" t="s">
        <v>126</v>
      </c>
      <c r="E12" s="9">
        <f>E11*1.014</f>
        <v>2900.105995698887</v>
      </c>
      <c r="F12" s="9"/>
      <c r="G12" s="13"/>
    </row>
    <row r="13" spans="1:8" x14ac:dyDescent="0.3">
      <c r="A13" t="s">
        <v>79</v>
      </c>
      <c r="B13" t="s">
        <v>127</v>
      </c>
      <c r="E13" s="9">
        <f>E5*1.0824*1.01*1.012*1.01*1.014</f>
        <v>2958.0425270867659</v>
      </c>
      <c r="F13" s="9"/>
      <c r="G13" s="11">
        <f>1.02^4</f>
        <v>1.08243216</v>
      </c>
    </row>
    <row r="14" spans="1:8" x14ac:dyDescent="0.3">
      <c r="A14" t="s">
        <v>128</v>
      </c>
      <c r="B14" t="s">
        <v>129</v>
      </c>
      <c r="E14" s="9">
        <f>E13*1.004</f>
        <v>2969.8746971951127</v>
      </c>
      <c r="F14" s="9"/>
      <c r="G14" s="13"/>
    </row>
    <row r="15" spans="1:8" x14ac:dyDescent="0.3">
      <c r="A15" t="s">
        <v>78</v>
      </c>
      <c r="B15" t="s">
        <v>130</v>
      </c>
      <c r="E15" s="9">
        <f>E5*1.1041*1.01*1.012*1.01*1.014*1.004</f>
        <v>3029.414868046124</v>
      </c>
      <c r="F15" s="9"/>
      <c r="G15" s="11">
        <f>1.02^5</f>
        <v>1.1040808032</v>
      </c>
    </row>
    <row r="16" spans="1:8" x14ac:dyDescent="0.3">
      <c r="A16" t="s">
        <v>131</v>
      </c>
      <c r="B16" t="s">
        <v>132</v>
      </c>
      <c r="E16" s="9">
        <f>E15*1.022</f>
        <v>3096.0619951431386</v>
      </c>
      <c r="F16" s="9"/>
      <c r="G16" s="13"/>
    </row>
    <row r="17" spans="1:7" x14ac:dyDescent="0.3">
      <c r="A17" t="s">
        <v>77</v>
      </c>
      <c r="B17" t="s">
        <v>6</v>
      </c>
      <c r="E17" s="9">
        <f>E5*1.1262*1.01*1.012*1.01*1.014*1.004*1.022</f>
        <v>3158.0337097456777</v>
      </c>
      <c r="F17" s="9"/>
      <c r="G17" s="11">
        <f>1.02^6</f>
        <v>1.1261624192640001</v>
      </c>
    </row>
    <row r="18" spans="1:7" x14ac:dyDescent="0.3">
      <c r="A18" t="s">
        <v>133</v>
      </c>
      <c r="B18" t="s">
        <v>129</v>
      </c>
      <c r="E18" s="9">
        <f>E17*1.004</f>
        <v>3170.6658445846606</v>
      </c>
      <c r="F18" s="9"/>
      <c r="G18" s="13"/>
    </row>
    <row r="19" spans="1:7" x14ac:dyDescent="0.3">
      <c r="A19" t="s">
        <v>76</v>
      </c>
      <c r="B19" t="s">
        <v>106</v>
      </c>
      <c r="E19" s="9">
        <f>E5*1.01*1.012*1.01*1.014*1.004*1.022*1.004</f>
        <v>2815.3665819434023</v>
      </c>
      <c r="F19" s="9"/>
      <c r="G19" s="11">
        <f>1.02^7</f>
        <v>1.1486856676492798</v>
      </c>
    </row>
    <row r="20" spans="1:7" x14ac:dyDescent="0.3">
      <c r="A20" t="s">
        <v>134</v>
      </c>
      <c r="B20" t="s">
        <v>135</v>
      </c>
      <c r="E20" s="9">
        <f>E19*1.006</f>
        <v>2832.2587814350627</v>
      </c>
      <c r="F20" s="9"/>
      <c r="G20" s="13"/>
    </row>
    <row r="21" spans="1:7" x14ac:dyDescent="0.3">
      <c r="A21" t="s">
        <v>75</v>
      </c>
      <c r="B21" t="s">
        <v>136</v>
      </c>
      <c r="E21" s="9">
        <f>E20*1.002</f>
        <v>2837.9232989979328</v>
      </c>
      <c r="F21" s="9"/>
      <c r="G21" s="13"/>
    </row>
    <row r="22" spans="1:7" x14ac:dyDescent="0.3">
      <c r="A22" t="s">
        <v>75</v>
      </c>
      <c r="B22" t="s">
        <v>137</v>
      </c>
      <c r="E22" s="9">
        <f>E5*1.1717*1.01*1.012*1.01*1.014*1.004*1.022*1.004*1.006*1.002</f>
        <v>3325.1947294358788</v>
      </c>
      <c r="F22" s="9"/>
      <c r="G22" s="11">
        <f>1.02^8</f>
        <v>1.1716593810022655</v>
      </c>
    </row>
    <row r="23" spans="1:7" x14ac:dyDescent="0.3">
      <c r="A23" t="s">
        <v>74</v>
      </c>
      <c r="B23" t="s">
        <v>138</v>
      </c>
      <c r="E23" s="9">
        <f>E5*1.1951*1.01*1.012*1.01*1.014*1.004*1.022*1.004*1.006*1.002</f>
        <v>3391.6021346324301</v>
      </c>
      <c r="F23" s="9"/>
      <c r="G23" s="11">
        <f>1.02^9</f>
        <v>1.1950925686223108</v>
      </c>
    </row>
    <row r="24" spans="1:7" x14ac:dyDescent="0.3">
      <c r="A24" t="s">
        <v>73</v>
      </c>
      <c r="B24" t="s">
        <v>139</v>
      </c>
      <c r="E24" s="9">
        <f>E5*1.219*1.01*1.012*1.01*1.014*1.004*1.022*1.004*1.006*1.002</f>
        <v>3459.42850147848</v>
      </c>
      <c r="F24" s="9"/>
      <c r="G24" s="11">
        <f>1.02^10</f>
        <v>1.2189944199947571</v>
      </c>
    </row>
    <row r="25" spans="1:7" x14ac:dyDescent="0.3">
      <c r="A25" t="s">
        <v>140</v>
      </c>
      <c r="B25" t="s">
        <v>141</v>
      </c>
      <c r="E25" s="9">
        <f>E24*1.0048</f>
        <v>3476.0337582855764</v>
      </c>
      <c r="F25" s="9"/>
      <c r="G25" s="11"/>
    </row>
    <row r="26" spans="1:7" x14ac:dyDescent="0.3">
      <c r="A26" t="s">
        <v>72</v>
      </c>
      <c r="B26" t="s">
        <v>142</v>
      </c>
      <c r="E26" s="9">
        <f>E5*1.2434*1.0048*1.01*1.012*1.01*1.014*1.004*1.022*1.004*1.006*1.002</f>
        <v>3545.6114643579058</v>
      </c>
      <c r="F26" s="9"/>
      <c r="G26" s="11">
        <f>1.02^11</f>
        <v>1.243374308394652</v>
      </c>
    </row>
    <row r="27" spans="1:7" x14ac:dyDescent="0.3">
      <c r="A27" t="s">
        <v>143</v>
      </c>
      <c r="B27" t="s">
        <v>144</v>
      </c>
      <c r="E27" s="9">
        <f>E26*1.0024</f>
        <v>3554.1209318723645</v>
      </c>
      <c r="F27" s="9"/>
      <c r="G27" s="13"/>
    </row>
    <row r="28" spans="1:7" x14ac:dyDescent="0.3">
      <c r="A28" t="s">
        <v>71</v>
      </c>
      <c r="B28" t="s">
        <v>145</v>
      </c>
      <c r="E28" s="9">
        <f>E5*1.2682*1.01*1.012*1.01*1.014*1.004*1.022*1.004*1.006*1.002*1.0048*1.0024</f>
        <v>3625.0089800551168</v>
      </c>
      <c r="F28" s="9"/>
      <c r="G28" s="11">
        <f>1.02^12</f>
        <v>1.2682417945625453</v>
      </c>
    </row>
    <row r="29" spans="1:7" x14ac:dyDescent="0.3">
      <c r="A29" t="s">
        <v>70</v>
      </c>
      <c r="B29" t="s">
        <v>146</v>
      </c>
      <c r="E29" s="9">
        <f>E5*1.2936*1.01*1.012*1.01*1.014*1.004*1.022*1.004*1.006*1.002*1.0048*1.0024</f>
        <v>3697.6120616616463</v>
      </c>
      <c r="F29" s="9"/>
      <c r="G29" s="11">
        <f>1.02^13</f>
        <v>1.2936066304537961</v>
      </c>
    </row>
    <row r="30" spans="1:7" x14ac:dyDescent="0.3">
      <c r="A30" t="s">
        <v>69</v>
      </c>
      <c r="B30" t="s">
        <v>147</v>
      </c>
      <c r="E30" s="9">
        <f>E5*1.3195*1.01*1.012*1.01*1.014*1.004*1.022*1.004*1.006*1.002*1.0048*1.0024</f>
        <v>3771.6443377879864</v>
      </c>
      <c r="F30" s="9"/>
      <c r="G30" s="11">
        <f>1.02^14</f>
        <v>1.3194787630628722</v>
      </c>
    </row>
    <row r="31" spans="1:7" x14ac:dyDescent="0.3">
      <c r="A31" t="s">
        <v>148</v>
      </c>
      <c r="B31" t="s">
        <v>144</v>
      </c>
      <c r="E31" s="9">
        <f>E30*1.0024</f>
        <v>3780.6962841986774</v>
      </c>
      <c r="F31" s="9"/>
      <c r="G31" s="13"/>
    </row>
    <row r="32" spans="1:7" x14ac:dyDescent="0.3">
      <c r="A32" t="s">
        <v>149</v>
      </c>
      <c r="B32" t="s">
        <v>150</v>
      </c>
      <c r="E32" s="9">
        <f>E31*1.0016</f>
        <v>3786.7453982533953</v>
      </c>
      <c r="F32" s="9"/>
      <c r="G32" s="13"/>
    </row>
    <row r="33" spans="1:7" x14ac:dyDescent="0.3">
      <c r="A33" t="s">
        <v>68</v>
      </c>
      <c r="B33" t="s">
        <v>151</v>
      </c>
      <c r="E33" s="9">
        <f>E5*1.3459 *1.01*1.012*1.01*1.014*1.004*1.022*1.004*1.006*1.002*1.0048*1.0024*1.0024*1.0016</f>
        <v>3862.5090045541856</v>
      </c>
      <c r="F33" s="9"/>
      <c r="G33" s="11">
        <f>1.02^15</f>
        <v>1.3458683383241292</v>
      </c>
    </row>
    <row r="34" spans="1:7" x14ac:dyDescent="0.3">
      <c r="A34" t="s">
        <v>67</v>
      </c>
      <c r="B34" t="s">
        <v>152</v>
      </c>
      <c r="E34" s="9">
        <f>E5*1.3728*1.01*1.012*1.01*1.014*1.004*1.022*1.004*1.006*1.002*1.0048*1.0024*1.0024*1.0016</f>
        <v>3939.7075276409728</v>
      </c>
      <c r="F34" s="9"/>
      <c r="G34" s="11">
        <f>1.02^16</f>
        <v>1.372785705090612</v>
      </c>
    </row>
    <row r="35" spans="1:7" x14ac:dyDescent="0.3">
      <c r="A35" t="s">
        <v>153</v>
      </c>
      <c r="B35" t="s">
        <v>154</v>
      </c>
      <c r="E35" s="9">
        <f>E34*1.0036</f>
        <v>3953.8904747404804</v>
      </c>
      <c r="F35" s="9"/>
      <c r="G35" s="11"/>
    </row>
    <row r="36" spans="1:7" x14ac:dyDescent="0.3">
      <c r="A36" t="s">
        <v>66</v>
      </c>
      <c r="B36" t="s">
        <v>155</v>
      </c>
      <c r="E36" s="9">
        <f>E5*1.4002*1.01*1.012*1.01*1.014*1.004*1.022*1.004*1.006*1.002*1.0048*1.0024*1.0024*1.0016*1.0036</f>
        <v>4032.8069949968103</v>
      </c>
      <c r="F36" s="9"/>
      <c r="G36" s="11">
        <f>1.02^17</f>
        <v>1.4002414191924244</v>
      </c>
    </row>
    <row r="37" spans="1:7" x14ac:dyDescent="0.3">
      <c r="A37" t="s">
        <v>156</v>
      </c>
      <c r="B37" t="s">
        <v>157</v>
      </c>
      <c r="E37" s="9">
        <f>E36*1.0128</f>
        <v>4084.4269245327691</v>
      </c>
      <c r="F37" s="9"/>
      <c r="G37" s="11"/>
    </row>
    <row r="38" spans="1:7" x14ac:dyDescent="0.3">
      <c r="A38" t="s">
        <v>239</v>
      </c>
      <c r="B38" t="s">
        <v>158</v>
      </c>
      <c r="E38" s="9">
        <f>F5*1.4282*1.01*1.012*1.01*1.014*1.004*1.022*1.004*1.006*1.002*1.0048*1.0024*1.0024*1.0016*1.0036*1.0128</f>
        <v>4166.1027478250571</v>
      </c>
      <c r="F38" s="9"/>
      <c r="G38" s="11">
        <f>1.02^18</f>
        <v>1.4282462475762727</v>
      </c>
    </row>
    <row r="39" spans="1:7" x14ac:dyDescent="0.3">
      <c r="A39" t="s">
        <v>250</v>
      </c>
      <c r="B39" t="s">
        <v>249</v>
      </c>
      <c r="E39" s="9">
        <f>E38*1.0032</f>
        <v>4179.434276618098</v>
      </c>
      <c r="G39" s="11"/>
    </row>
    <row r="40" spans="1:7" x14ac:dyDescent="0.3">
      <c r="A40" t="s">
        <v>252</v>
      </c>
      <c r="B40" t="s">
        <v>170</v>
      </c>
      <c r="E40" s="9">
        <f>2610.69*1.4568*1.01*1.012*1.01*1.014*1.004*1.022*1.004*1.006*1.002*1.0048*1.0024*1.0024*1.0016*1.0036*1.0128*1.0032</f>
        <v>4263.1283112850051</v>
      </c>
      <c r="G40" s="11">
        <f>1.02^19</f>
        <v>1.4568111725277981</v>
      </c>
    </row>
    <row r="41" spans="1:7" x14ac:dyDescent="0.3">
      <c r="A41" t="s">
        <v>260</v>
      </c>
      <c r="B41" t="s">
        <v>258</v>
      </c>
      <c r="E41" s="9">
        <f>2610.69*1.4568*1.01*1.012*1.01*1.014*1.004*1.022*1.004*1.006*1.002*1.0048*1.0024*1.0024*1.0016*1.0036*1.0128*1.0032*1.0026</f>
        <v>4274.2124448943459</v>
      </c>
    </row>
    <row r="42" spans="1:7" x14ac:dyDescent="0.3">
      <c r="A42" t="s">
        <v>260</v>
      </c>
      <c r="B42" t="s">
        <v>113</v>
      </c>
      <c r="E42" s="9">
        <f>2610.69*1.4859*1.01*1.012*1.01*1.014*1.004*1.022*1.004*1.006*1.002*1.0048*1.0024*1.0024*1.0016*1.0036*1.0128*1.0032*1.0026</f>
        <v>4359.5910707499379</v>
      </c>
      <c r="G42" s="11">
        <f>1.02^20</f>
        <v>1.4859473959783542</v>
      </c>
    </row>
    <row r="46" spans="1:7" x14ac:dyDescent="0.3">
      <c r="F46">
        <f>F12*'CCT n° 17'!E33</f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workbookViewId="0">
      <selection activeCell="K27" sqref="K27"/>
    </sheetView>
  </sheetViews>
  <sheetFormatPr defaultColWidth="11.5546875" defaultRowHeight="14.4" x14ac:dyDescent="0.3"/>
  <cols>
    <col min="6" max="6" width="12.44140625" bestFit="1" customWidth="1"/>
  </cols>
  <sheetData>
    <row r="1" spans="1:11" x14ac:dyDescent="0.3">
      <c r="B1" s="1" t="s">
        <v>91</v>
      </c>
    </row>
    <row r="3" spans="1:11" x14ac:dyDescent="0.3">
      <c r="A3" s="1" t="s">
        <v>91</v>
      </c>
      <c r="B3" s="6" t="s">
        <v>243</v>
      </c>
    </row>
    <row r="4" spans="1:11" x14ac:dyDescent="0.3">
      <c r="A4" s="1"/>
      <c r="B4" s="5" t="s">
        <v>241</v>
      </c>
      <c r="C4" s="5"/>
    </row>
    <row r="5" spans="1:11" x14ac:dyDescent="0.3">
      <c r="A5" s="1"/>
    </row>
    <row r="6" spans="1:11" x14ac:dyDescent="0.3">
      <c r="A6" s="2" t="s">
        <v>94</v>
      </c>
      <c r="B6" s="2" t="s">
        <v>173</v>
      </c>
      <c r="E6" s="2" t="s">
        <v>190</v>
      </c>
      <c r="F6" s="2" t="s">
        <v>242</v>
      </c>
    </row>
    <row r="7" spans="1:11" x14ac:dyDescent="0.3">
      <c r="A7" s="1"/>
      <c r="E7" s="2" t="s">
        <v>97</v>
      </c>
      <c r="F7" s="2"/>
      <c r="H7" s="2" t="s">
        <v>99</v>
      </c>
      <c r="K7" s="2" t="s">
        <v>100</v>
      </c>
    </row>
    <row r="8" spans="1:11" x14ac:dyDescent="0.3">
      <c r="A8" t="s">
        <v>92</v>
      </c>
      <c r="B8" t="s">
        <v>95</v>
      </c>
      <c r="E8">
        <v>1387.49</v>
      </c>
      <c r="H8">
        <v>1424.31</v>
      </c>
      <c r="K8">
        <v>1440.67</v>
      </c>
    </row>
    <row r="9" spans="1:11" x14ac:dyDescent="0.3">
      <c r="A9" s="3" t="s">
        <v>72</v>
      </c>
      <c r="B9" t="s">
        <v>1</v>
      </c>
      <c r="E9" s="9">
        <f>E8*1.02^1</f>
        <v>1415.2398000000001</v>
      </c>
      <c r="F9" s="10">
        <v>1.02</v>
      </c>
      <c r="H9" s="9">
        <f>H8*1.02</f>
        <v>1452.7962</v>
      </c>
      <c r="K9" s="9">
        <f>K8*1.02</f>
        <v>1469.4834000000001</v>
      </c>
    </row>
    <row r="10" spans="1:11" x14ac:dyDescent="0.3">
      <c r="A10" s="3" t="s">
        <v>71</v>
      </c>
      <c r="B10" t="s">
        <v>2</v>
      </c>
      <c r="E10" s="9">
        <f>E8*1.0404</f>
        <v>1443.544596</v>
      </c>
      <c r="F10" s="11">
        <f>1.02^2</f>
        <v>1.0404</v>
      </c>
      <c r="H10" s="9">
        <f>H8*1.0404</f>
        <v>1481.852124</v>
      </c>
      <c r="K10" s="9">
        <f>K8*1.0404</f>
        <v>1498.8730680000001</v>
      </c>
    </row>
    <row r="11" spans="1:11" x14ac:dyDescent="0.3">
      <c r="A11" s="3" t="s">
        <v>70</v>
      </c>
      <c r="B11" t="s">
        <v>3</v>
      </c>
      <c r="E11" s="9">
        <f>E8*1.0612</f>
        <v>1472.4043879999999</v>
      </c>
      <c r="F11" s="11">
        <f>1.02^3</f>
        <v>1.0612079999999999</v>
      </c>
      <c r="H11" s="9">
        <f>H8*1.0612</f>
        <v>1511.4777719999997</v>
      </c>
      <c r="K11" s="9">
        <f>K8*1.0612</f>
        <v>1528.8390039999999</v>
      </c>
    </row>
    <row r="12" spans="1:11" x14ac:dyDescent="0.3">
      <c r="A12" s="3" t="s">
        <v>69</v>
      </c>
      <c r="B12" t="s">
        <v>4</v>
      </c>
      <c r="E12" s="9">
        <f>E8*1.0824</f>
        <v>1501.819176</v>
      </c>
      <c r="F12" s="11">
        <f>1.02^4</f>
        <v>1.08243216</v>
      </c>
      <c r="H12" s="9">
        <f>H8*1.0824</f>
        <v>1541.6731440000001</v>
      </c>
      <c r="K12" s="9">
        <f>K8*1.0824</f>
        <v>1559.381208</v>
      </c>
    </row>
    <row r="13" spans="1:11" x14ac:dyDescent="0.3">
      <c r="A13" s="1"/>
      <c r="F13" s="2"/>
    </row>
    <row r="14" spans="1:11" x14ac:dyDescent="0.3">
      <c r="A14" t="s">
        <v>93</v>
      </c>
      <c r="B14" t="s">
        <v>96</v>
      </c>
      <c r="E14" s="2" t="s">
        <v>98</v>
      </c>
      <c r="F14" s="2"/>
      <c r="H14" s="2" t="s">
        <v>101</v>
      </c>
      <c r="K14" s="2" t="s">
        <v>102</v>
      </c>
    </row>
    <row r="15" spans="1:11" x14ac:dyDescent="0.3">
      <c r="E15" s="9">
        <f>E12</f>
        <v>1501.819176</v>
      </c>
      <c r="F15" s="12"/>
      <c r="H15" s="9">
        <f>$H$12</f>
        <v>1541.6731440000001</v>
      </c>
      <c r="K15" s="9">
        <f>K8*1.0824</f>
        <v>1559.381208</v>
      </c>
    </row>
    <row r="16" spans="1:11" x14ac:dyDescent="0.3">
      <c r="A16" t="s">
        <v>68</v>
      </c>
      <c r="B16" t="s">
        <v>5</v>
      </c>
      <c r="E16" s="9">
        <f>E8*1.1041</f>
        <v>1531.927709</v>
      </c>
      <c r="F16" s="11">
        <f>1.02^5</f>
        <v>1.1040808032</v>
      </c>
      <c r="H16" s="9">
        <f>H8*1.1041</f>
        <v>1572.5806710000002</v>
      </c>
      <c r="K16" s="9">
        <f>K8*1.1041</f>
        <v>1590.6437470000003</v>
      </c>
    </row>
    <row r="17" spans="1:13" x14ac:dyDescent="0.3">
      <c r="A17" t="s">
        <v>67</v>
      </c>
      <c r="B17" t="s">
        <v>105</v>
      </c>
      <c r="E17" s="9">
        <f>E8*1.1262</f>
        <v>1562.5912380000002</v>
      </c>
      <c r="F17" s="11">
        <f>1.02^6</f>
        <v>1.1261624192640001</v>
      </c>
      <c r="H17" s="9">
        <f>H8*1.1262</f>
        <v>1604.057922</v>
      </c>
      <c r="K17" s="9">
        <f>K8*1.1262</f>
        <v>1622.4825540000002</v>
      </c>
    </row>
    <row r="18" spans="1:13" x14ac:dyDescent="0.3">
      <c r="A18" t="s">
        <v>66</v>
      </c>
      <c r="B18" t="s">
        <v>106</v>
      </c>
      <c r="E18" s="9">
        <f>E8*1.1487</f>
        <v>1593.809763</v>
      </c>
      <c r="F18" s="11">
        <f>1.02^7</f>
        <v>1.1486856676492798</v>
      </c>
      <c r="H18" s="9">
        <f>H8*1.1487</f>
        <v>1636.1048969999999</v>
      </c>
      <c r="K18" s="9">
        <f>K8*1.1487</f>
        <v>1654.8976290000001</v>
      </c>
    </row>
    <row r="19" spans="1:13" x14ac:dyDescent="0.3">
      <c r="A19" t="s">
        <v>239</v>
      </c>
      <c r="B19" t="s">
        <v>137</v>
      </c>
      <c r="E19" s="9">
        <f>E8*1.1717</f>
        <v>1625.722033</v>
      </c>
      <c r="F19" s="11">
        <f>1.02^8</f>
        <v>1.1716593810022655</v>
      </c>
      <c r="H19" s="9">
        <f>H8*1.1717</f>
        <v>1668.8640269999999</v>
      </c>
      <c r="K19" s="9">
        <f>K8*1.1717</f>
        <v>1688.0330390000001</v>
      </c>
    </row>
    <row r="20" spans="1:13" x14ac:dyDescent="0.3">
      <c r="E20" s="9"/>
      <c r="F20" s="11"/>
      <c r="H20" s="9"/>
      <c r="K20" s="9"/>
    </row>
    <row r="21" spans="1:13" x14ac:dyDescent="0.3">
      <c r="F21" s="11"/>
    </row>
    <row r="22" spans="1:13" x14ac:dyDescent="0.3">
      <c r="D22" s="7"/>
      <c r="E22" s="2" t="s">
        <v>98</v>
      </c>
      <c r="H22" s="2" t="s">
        <v>261</v>
      </c>
      <c r="K22" s="2" t="s">
        <v>102</v>
      </c>
    </row>
    <row r="23" spans="1:13" x14ac:dyDescent="0.3">
      <c r="A23" t="s">
        <v>257</v>
      </c>
      <c r="B23" t="s">
        <v>256</v>
      </c>
      <c r="E23">
        <v>1625.72</v>
      </c>
      <c r="H23">
        <v>1668.86</v>
      </c>
      <c r="K23">
        <v>1688.03</v>
      </c>
    </row>
    <row r="24" spans="1:13" x14ac:dyDescent="0.3">
      <c r="A24" t="s">
        <v>252</v>
      </c>
      <c r="B24" t="s">
        <v>120</v>
      </c>
      <c r="E24" s="9">
        <f>1625.72*1.02</f>
        <v>1658.2344000000001</v>
      </c>
      <c r="F24" s="13">
        <f>1.02</f>
        <v>1.02</v>
      </c>
      <c r="H24" s="9">
        <f>1668.86*1.02</f>
        <v>1702.2372</v>
      </c>
      <c r="K24" s="9">
        <f>1688.03*1.02</f>
        <v>1721.7906</v>
      </c>
      <c r="M24" s="13"/>
    </row>
    <row r="25" spans="1:13" x14ac:dyDescent="0.3">
      <c r="A25" t="s">
        <v>260</v>
      </c>
      <c r="B25" t="s">
        <v>103</v>
      </c>
      <c r="E25" s="9">
        <f>1625.72*1.0404</f>
        <v>1691.3990880000001</v>
      </c>
      <c r="F25" s="13">
        <f>1.02^2</f>
        <v>1.0404</v>
      </c>
      <c r="H25" s="9">
        <f>1688.86*1.0404</f>
        <v>1757.0899439999998</v>
      </c>
      <c r="K25" s="9">
        <f>1688.03*1.0404</f>
        <v>1756.226412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opLeftCell="A32" workbookViewId="0">
      <selection activeCell="G57" sqref="G57"/>
    </sheetView>
  </sheetViews>
  <sheetFormatPr defaultColWidth="11.5546875" defaultRowHeight="14.4" x14ac:dyDescent="0.3"/>
  <sheetData>
    <row r="1" spans="1:10" x14ac:dyDescent="0.3">
      <c r="A1" s="1" t="s">
        <v>160</v>
      </c>
      <c r="B1" s="6" t="s">
        <v>248</v>
      </c>
    </row>
    <row r="2" spans="1:10" x14ac:dyDescent="0.3">
      <c r="A2" s="1"/>
      <c r="B2" s="5" t="s">
        <v>241</v>
      </c>
    </row>
    <row r="4" spans="1:10" x14ac:dyDescent="0.3">
      <c r="A4" s="2" t="s">
        <v>94</v>
      </c>
      <c r="B4" s="2" t="s">
        <v>173</v>
      </c>
      <c r="F4" s="2" t="s">
        <v>191</v>
      </c>
      <c r="G4" s="2" t="s">
        <v>192</v>
      </c>
      <c r="J4" s="2" t="s">
        <v>244</v>
      </c>
    </row>
    <row r="5" spans="1:10" x14ac:dyDescent="0.3">
      <c r="A5" t="s">
        <v>161</v>
      </c>
      <c r="B5" t="s">
        <v>110</v>
      </c>
      <c r="F5">
        <v>3000</v>
      </c>
      <c r="G5">
        <v>74.37</v>
      </c>
      <c r="H5" s="9">
        <f>3000/40.3399</f>
        <v>74.36805743197182</v>
      </c>
    </row>
    <row r="6" spans="1:10" x14ac:dyDescent="0.3">
      <c r="A6" t="s">
        <v>90</v>
      </c>
      <c r="B6" t="s">
        <v>120</v>
      </c>
      <c r="F6">
        <f>3000*1.02</f>
        <v>3060</v>
      </c>
      <c r="G6" s="9">
        <f>74.37*1.02</f>
        <v>75.857400000000013</v>
      </c>
      <c r="J6" s="13">
        <v>1.02</v>
      </c>
    </row>
    <row r="7" spans="1:10" x14ac:dyDescent="0.3">
      <c r="A7" t="s">
        <v>162</v>
      </c>
      <c r="B7" t="s">
        <v>103</v>
      </c>
      <c r="F7">
        <f>3000*1.02^2</f>
        <v>3121.2</v>
      </c>
      <c r="G7" s="9">
        <f>74.37*1.0404</f>
        <v>77.374548000000004</v>
      </c>
      <c r="J7" s="13">
        <v>1.0404</v>
      </c>
    </row>
    <row r="8" spans="1:10" x14ac:dyDescent="0.3">
      <c r="A8" t="s">
        <v>109</v>
      </c>
      <c r="B8" t="s">
        <v>124</v>
      </c>
      <c r="F8">
        <f>F7*1.012</f>
        <v>3158.6543999999999</v>
      </c>
      <c r="G8" s="9">
        <f>74.37*1.012*1.0404</f>
        <v>78.30304257600001</v>
      </c>
    </row>
    <row r="9" spans="1:10" x14ac:dyDescent="0.3">
      <c r="A9" t="s">
        <v>89</v>
      </c>
      <c r="B9" t="s">
        <v>104</v>
      </c>
      <c r="F9">
        <f>F8*1.02</f>
        <v>3221.8274879999999</v>
      </c>
      <c r="G9" s="9">
        <f>74.37*1.012*1.0612</f>
        <v>79.868501328000008</v>
      </c>
      <c r="J9" s="11">
        <f>1.02^3</f>
        <v>1.0612079999999999</v>
      </c>
    </row>
    <row r="10" spans="1:10" x14ac:dyDescent="0.3">
      <c r="A10" t="s">
        <v>163</v>
      </c>
      <c r="B10" t="s">
        <v>166</v>
      </c>
      <c r="F10">
        <f>F9*1.016</f>
        <v>3273.3767278079999</v>
      </c>
      <c r="G10" s="9">
        <f>74.37*1.012*1.016*1.0612</f>
        <v>81.146397349248019</v>
      </c>
      <c r="J10" s="11"/>
    </row>
    <row r="11" spans="1:10" x14ac:dyDescent="0.3">
      <c r="A11" t="s">
        <v>88</v>
      </c>
      <c r="B11" t="s">
        <v>127</v>
      </c>
      <c r="F11">
        <f>F10*1.02</f>
        <v>3338.8442623641599</v>
      </c>
      <c r="G11" s="9">
        <f>74.37*1.012*1.016*1.0824</f>
        <v>82.767490096896026</v>
      </c>
      <c r="J11" s="11">
        <f>1.02^4</f>
        <v>1.08243216</v>
      </c>
    </row>
    <row r="12" spans="1:10" x14ac:dyDescent="0.3">
      <c r="A12" t="s">
        <v>164</v>
      </c>
      <c r="B12" t="s">
        <v>166</v>
      </c>
      <c r="F12">
        <f>F11*1.016</f>
        <v>3392.2657705619868</v>
      </c>
      <c r="G12" s="9">
        <f>74.37*1.012*1.016*1.016*1.0824</f>
        <v>84.091769938446362</v>
      </c>
      <c r="J12" s="11"/>
    </row>
    <row r="13" spans="1:10" x14ac:dyDescent="0.3">
      <c r="A13" t="s">
        <v>87</v>
      </c>
      <c r="B13" t="s">
        <v>130</v>
      </c>
      <c r="F13">
        <f>F12*1.02</f>
        <v>3460.1110859732266</v>
      </c>
      <c r="G13" s="9">
        <f>74.37*1.012*1.016*1.016*1.1041</f>
        <v>85.77764522268906</v>
      </c>
      <c r="J13" s="11">
        <f>1.02^5</f>
        <v>1.1040808032</v>
      </c>
    </row>
    <row r="14" spans="1:10" x14ac:dyDescent="0.3">
      <c r="A14" t="s">
        <v>165</v>
      </c>
      <c r="B14" t="s">
        <v>135</v>
      </c>
      <c r="F14">
        <f>F13*1.006</f>
        <v>3480.8717524890662</v>
      </c>
      <c r="G14" s="9">
        <f>74.37*1.012*1.016*1.016*1.006*1.1041</f>
        <v>86.29231109402518</v>
      </c>
      <c r="J14" s="11"/>
    </row>
    <row r="15" spans="1:10" x14ac:dyDescent="0.3">
      <c r="A15" t="s">
        <v>86</v>
      </c>
      <c r="B15" t="s">
        <v>105</v>
      </c>
      <c r="F15">
        <f>F14*1.02</f>
        <v>3550.4891875388475</v>
      </c>
      <c r="G15" s="9">
        <f>74.37*1.012*1.016*1.016*1.006*1.1262</f>
        <v>88.019564128331822</v>
      </c>
      <c r="J15" s="11">
        <f>1.02^6</f>
        <v>1.1261624192640001</v>
      </c>
    </row>
    <row r="16" spans="1:10" x14ac:dyDescent="0.3">
      <c r="A16" t="s">
        <v>85</v>
      </c>
      <c r="B16" t="s">
        <v>106</v>
      </c>
      <c r="F16">
        <f>F15*1.02</f>
        <v>3621.4989712896245</v>
      </c>
      <c r="G16" s="9">
        <f>74.37*1.012*1.016*1.016*1.006*1.1487</f>
        <v>89.778079660996951</v>
      </c>
      <c r="J16" s="11">
        <f>1.02^7</f>
        <v>1.1486856676492798</v>
      </c>
    </row>
    <row r="17" spans="1:10" x14ac:dyDescent="0.3">
      <c r="A17" t="s">
        <v>84</v>
      </c>
      <c r="B17" t="s">
        <v>137</v>
      </c>
      <c r="F17">
        <f>F16*1.02</f>
        <v>3693.9289507154172</v>
      </c>
      <c r="G17" s="9">
        <f>74.37*1.012*1.016*1.016*1.006*1.1717</f>
        <v>91.575673316610178</v>
      </c>
      <c r="J17" s="11">
        <f>1.02^8</f>
        <v>1.1716593810022655</v>
      </c>
    </row>
    <row r="18" spans="1:10" x14ac:dyDescent="0.3">
      <c r="A18" t="s">
        <v>167</v>
      </c>
      <c r="B18" t="s">
        <v>135</v>
      </c>
      <c r="F18">
        <f>F17*1.006</f>
        <v>3716.0925244197097</v>
      </c>
      <c r="G18" s="9">
        <f>74.37*1.012*1.016*1.016*1.006*1.006*1.1717</f>
        <v>92.12512735650985</v>
      </c>
      <c r="J18" s="11"/>
    </row>
    <row r="19" spans="1:10" x14ac:dyDescent="0.3">
      <c r="A19" t="s">
        <v>83</v>
      </c>
      <c r="B19" t="s">
        <v>124</v>
      </c>
      <c r="F19">
        <f>F18*1.012</f>
        <v>3760.6856347127464</v>
      </c>
      <c r="G19" s="9">
        <f>74.37*1.012*1.016*1.016*1.006*1.006*1.012*1.1717</f>
        <v>93.230628884787961</v>
      </c>
      <c r="J19" s="11"/>
    </row>
    <row r="20" spans="1:10" x14ac:dyDescent="0.3">
      <c r="A20" t="s">
        <v>82</v>
      </c>
      <c r="B20" t="s">
        <v>138</v>
      </c>
      <c r="F20">
        <f>F19*1.02</f>
        <v>3835.8993474070012</v>
      </c>
      <c r="G20" s="9">
        <f>74.37*1.012*1.016*1.016*1.006*1.006*1.012*1.1951</f>
        <v>95.092536127174284</v>
      </c>
      <c r="J20" s="11">
        <f>1.02^9</f>
        <v>1.1950925686223108</v>
      </c>
    </row>
    <row r="21" spans="1:10" x14ac:dyDescent="0.3">
      <c r="A21" t="s">
        <v>121</v>
      </c>
      <c r="B21" t="s">
        <v>240</v>
      </c>
      <c r="F21">
        <f>F20*1.01</f>
        <v>3874.258340881071</v>
      </c>
      <c r="G21" s="9">
        <f>74.37*1.012*1.016*1.016*1.006*1.006*1.012*1.01*1.1951</f>
        <v>96.043461488446027</v>
      </c>
      <c r="J21" s="11"/>
    </row>
    <row r="22" spans="1:10" x14ac:dyDescent="0.3">
      <c r="A22" t="s">
        <v>81</v>
      </c>
      <c r="B22" t="s">
        <v>139</v>
      </c>
      <c r="F22">
        <f>F21*1.02</f>
        <v>3951.7435076986926</v>
      </c>
      <c r="G22" s="9">
        <f>74.37*1.012*1.016*1.016*1.006*1.006*1.012*1.01*1.219</f>
        <v>97.964169989470093</v>
      </c>
      <c r="J22" s="11">
        <f>1.02^10</f>
        <v>1.2189944199947571</v>
      </c>
    </row>
    <row r="23" spans="1:10" x14ac:dyDescent="0.3">
      <c r="A23" t="s">
        <v>123</v>
      </c>
      <c r="B23" t="s">
        <v>124</v>
      </c>
      <c r="F23">
        <f>F22*1.012</f>
        <v>3999.1644297910771</v>
      </c>
      <c r="G23" s="9">
        <f>74.37*1.012*1.016*1.016*1.006*1.006*1.012*1.01*1.012*1.219</f>
        <v>99.139740029343741</v>
      </c>
      <c r="J23" s="11"/>
    </row>
    <row r="24" spans="1:10" x14ac:dyDescent="0.3">
      <c r="A24" t="s">
        <v>80</v>
      </c>
      <c r="B24" t="s">
        <v>142</v>
      </c>
      <c r="G24" s="9">
        <f>74.37*1.012*1.016*1.016*1.006*1.006*1.012*1.01*1.012*1.2434</f>
        <v>101.12416140482854</v>
      </c>
      <c r="J24" s="11">
        <f>1.02^11</f>
        <v>1.243374308394652</v>
      </c>
    </row>
    <row r="25" spans="1:10" x14ac:dyDescent="0.3">
      <c r="A25" t="s">
        <v>111</v>
      </c>
      <c r="B25" t="s">
        <v>122</v>
      </c>
      <c r="G25" s="9">
        <f>74.37*1.012*1.016*1.016*1.006*1.006*1.012*1.01*1.012*1.01*1.2434</f>
        <v>102.13540301887684</v>
      </c>
      <c r="J25" s="11"/>
    </row>
    <row r="26" spans="1:10" x14ac:dyDescent="0.3">
      <c r="A26" t="s">
        <v>52</v>
      </c>
      <c r="B26" t="s">
        <v>145</v>
      </c>
      <c r="G26" s="9">
        <f>74.37*1.012*1.016*1.016*1.006*1.006*1.012*1.01*1.012*1.01*1.2682</f>
        <v>104.17252542105486</v>
      </c>
      <c r="J26" s="11">
        <f>1.02^12</f>
        <v>1.2682417945625453</v>
      </c>
    </row>
    <row r="27" spans="1:10" x14ac:dyDescent="0.3">
      <c r="A27" t="s">
        <v>125</v>
      </c>
      <c r="B27" t="s">
        <v>126</v>
      </c>
      <c r="G27" s="9">
        <f>74.37*1.012*1.016*1.016*1.006*1.006*1.012*1.01*1.012*1.01*1.014*1.2682</f>
        <v>105.63094077694963</v>
      </c>
      <c r="J27" s="11"/>
    </row>
    <row r="28" spans="1:10" x14ac:dyDescent="0.3">
      <c r="A28" t="s">
        <v>79</v>
      </c>
      <c r="B28" t="s">
        <v>146</v>
      </c>
      <c r="G28" s="9">
        <f>74.37*1.012*1.016*1.016*1.006*1.006*1.012*1.01*1.012*1.01*1.014*1.2936</f>
        <v>107.74655810523738</v>
      </c>
      <c r="J28" s="11">
        <f>1.02^13</f>
        <v>1.2936066304537961</v>
      </c>
    </row>
    <row r="29" spans="1:10" x14ac:dyDescent="0.3">
      <c r="A29" t="s">
        <v>128</v>
      </c>
      <c r="B29" t="s">
        <v>129</v>
      </c>
      <c r="G29" s="9">
        <f>74.37*1.012*1.016*1.016*1.006*1.006*1.012*1.01*1.012*1.01*1.014*1.004*1.2936</f>
        <v>108.17754433765833</v>
      </c>
      <c r="J29" s="11"/>
    </row>
    <row r="30" spans="1:10" x14ac:dyDescent="0.3">
      <c r="A30" t="s">
        <v>78</v>
      </c>
      <c r="B30" t="s">
        <v>147</v>
      </c>
      <c r="G30" s="9">
        <f>74.37*1.012*1.016*1.016*1.006*1.006*1.012*1.01*1.012*1.01*1.014*1.004*1.3195</f>
        <v>110.34343672970017</v>
      </c>
      <c r="J30" s="11">
        <f>1.02^14</f>
        <v>1.3194787630628722</v>
      </c>
    </row>
    <row r="31" spans="1:10" x14ac:dyDescent="0.3">
      <c r="A31" t="s">
        <v>131</v>
      </c>
      <c r="B31" t="s">
        <v>168</v>
      </c>
      <c r="G31" s="9">
        <f>74.37*1.012*1.016*1.016*1.006*1.006*1.012*1.01*1.012*1.01*1.014*1.004*1.022*1.3195</f>
        <v>112.7709923377536</v>
      </c>
      <c r="J31" s="11"/>
    </row>
    <row r="32" spans="1:10" x14ac:dyDescent="0.3">
      <c r="A32" t="s">
        <v>77</v>
      </c>
      <c r="B32" t="s">
        <v>151</v>
      </c>
      <c r="G32" s="9">
        <f>74.37*1.012*1.016*1.016*1.006*1.006*1.012*1.01*1.012*1.01*1.014*1.004*1.022*1.3459</f>
        <v>115.02726683393905</v>
      </c>
      <c r="J32" s="11">
        <f>1.02^15</f>
        <v>1.3458683383241292</v>
      </c>
    </row>
    <row r="33" spans="1:10" x14ac:dyDescent="0.3">
      <c r="A33" t="s">
        <v>133</v>
      </c>
      <c r="B33" t="s">
        <v>169</v>
      </c>
      <c r="G33" s="9">
        <f>74.37*1.012*1.016*1.016*1.006*1.006*1.012*1.01*1.012*1.01*1.014*1.004*1.022*1.004*1.3459</f>
        <v>115.4873759012748</v>
      </c>
      <c r="J33" s="11"/>
    </row>
    <row r="34" spans="1:10" x14ac:dyDescent="0.3">
      <c r="A34" t="s">
        <v>76</v>
      </c>
      <c r="B34" t="s">
        <v>152</v>
      </c>
      <c r="G34" s="9">
        <f>74.37*1.012*1.016*1.016*1.006*1.006*1.012*1.01*1.012*1.01*1.014*1.004*1.022*1.004*1.3728</f>
        <v>117.79557889684972</v>
      </c>
      <c r="J34" s="11">
        <f>1.02^16</f>
        <v>1.372785705090612</v>
      </c>
    </row>
    <row r="35" spans="1:10" x14ac:dyDescent="0.3">
      <c r="A35" t="s">
        <v>134</v>
      </c>
      <c r="B35" t="s">
        <v>135</v>
      </c>
      <c r="G35" s="9">
        <f>74.37*1.012*1.016*1.016*1.006*1.006*1.012*1.01*1.012*1.01*1.014*1.004*1.022*1.004*1.006*1.3728</f>
        <v>118.50235237023082</v>
      </c>
      <c r="J35" s="11"/>
    </row>
    <row r="36" spans="1:10" x14ac:dyDescent="0.3">
      <c r="A36" t="s">
        <v>75</v>
      </c>
      <c r="B36" t="s">
        <v>155</v>
      </c>
      <c r="G36" s="9">
        <f>74.37*1.012*1.016*1.016*1.006*1.006*1.012*1.01*1.012*1.01*1.014*1.004*1.022*1.004*1.006*1.4002</f>
        <v>120.86756540559236</v>
      </c>
      <c r="J36" s="11">
        <f>1.02^17</f>
        <v>1.4002414191924244</v>
      </c>
    </row>
    <row r="37" spans="1:10" x14ac:dyDescent="0.3">
      <c r="A37" t="s">
        <v>75</v>
      </c>
      <c r="B37" t="s">
        <v>136</v>
      </c>
      <c r="G37" s="9">
        <f>74.37*1.012*1.016*1.016*1.006*1.006*1.012*1.01*1.012*1.01*1.014*1.004*1.022*1.004*1.006*1.002*1.4002</f>
        <v>121.10930053640354</v>
      </c>
      <c r="J37" s="11"/>
    </row>
    <row r="38" spans="1:10" x14ac:dyDescent="0.3">
      <c r="A38" t="s">
        <v>74</v>
      </c>
      <c r="B38" t="s">
        <v>158</v>
      </c>
      <c r="G38" s="9">
        <f>74.37*1.012*1.016*1.016*1.006*1.006*1.012*1.01*1.012*1.01*1.014*1.004*1.022*1.004*1.006*1.002*1.4282</f>
        <v>123.53114056998396</v>
      </c>
      <c r="J38" s="11">
        <f>1.02^18</f>
        <v>1.4282462475762727</v>
      </c>
    </row>
    <row r="39" spans="1:10" x14ac:dyDescent="0.3">
      <c r="A39" t="s">
        <v>73</v>
      </c>
      <c r="B39" t="s">
        <v>170</v>
      </c>
      <c r="G39" s="9">
        <f>74.37*1.012*1.016*1.016*1.006*1.006*1.012*1.01*1.012*1.01*1.014*1.004*1.022*1.004*1.006*1.002*1.4568</f>
        <v>126.00487717571254</v>
      </c>
      <c r="J39" s="11">
        <f>1.02^19</f>
        <v>1.4568111725277981</v>
      </c>
    </row>
    <row r="40" spans="1:10" x14ac:dyDescent="0.3">
      <c r="A40" t="s">
        <v>140</v>
      </c>
      <c r="B40" t="s">
        <v>141</v>
      </c>
      <c r="G40" s="9">
        <f>74.37*1.012*1.016*1.016*1.006*1.006*1.012*1.01*1.012*1.01*1.014*1.004*1.022*1.004*1.006*1.002*1.0048*1.4568</f>
        <v>126.60970058615594</v>
      </c>
      <c r="J40" s="11"/>
    </row>
    <row r="41" spans="1:10" x14ac:dyDescent="0.3">
      <c r="A41" t="s">
        <v>72</v>
      </c>
      <c r="B41" t="s">
        <v>113</v>
      </c>
      <c r="G41" s="9">
        <f>74.37*1.012*1.016*1.016*1.006*1.006*1.012*1.01*1.012*1.01*1.014*1.004*1.022*1.004*1.006*1.002*1.0048*1.4859</f>
        <v>129.13876585733738</v>
      </c>
      <c r="J41" s="11">
        <f>1.02^20</f>
        <v>1.4859473959783542</v>
      </c>
    </row>
    <row r="42" spans="1:10" x14ac:dyDescent="0.3">
      <c r="A42" t="s">
        <v>143</v>
      </c>
      <c r="B42" t="s">
        <v>144</v>
      </c>
      <c r="G42" s="9">
        <f>74.37*1.012*1.016*1.016*1.006*1.006*1.012*1.01*1.012*1.01*1.014*1.004*1.022*1.004*1.006*1.002*1.0048*1.0024*1.4859</f>
        <v>129.44869889539498</v>
      </c>
      <c r="J42" s="11"/>
    </row>
    <row r="43" spans="1:10" x14ac:dyDescent="0.3">
      <c r="A43" t="s">
        <v>71</v>
      </c>
      <c r="B43" t="s">
        <v>114</v>
      </c>
      <c r="G43" s="9">
        <f>74.37*1.012*1.016*1.016*1.006*1.006*1.012*1.01*1.012*1.01*1.014*1.004*1.022*1.004*1.006*1.002*1.0048*1.0024*1.5157</f>
        <v>132.04481655276277</v>
      </c>
      <c r="J43" s="11">
        <f>1.02^21</f>
        <v>1.5156663438979212</v>
      </c>
    </row>
    <row r="44" spans="1:10" x14ac:dyDescent="0.3">
      <c r="A44" t="s">
        <v>70</v>
      </c>
      <c r="B44" t="s">
        <v>115</v>
      </c>
      <c r="G44" s="9">
        <f>74.37*1.012*1.016*1.016*1.006*1.006*1.012*1.01*1.012*1.01*1.014*1.004*1.022*1.004*1.006*1.002*1.0048*1.0024*1.546</f>
        <v>134.68449323122732</v>
      </c>
      <c r="J44" s="11">
        <f>1.02^22</f>
        <v>1.5459796707758797</v>
      </c>
    </row>
    <row r="45" spans="1:10" x14ac:dyDescent="0.3">
      <c r="A45" t="s">
        <v>69</v>
      </c>
      <c r="B45" t="s">
        <v>116</v>
      </c>
      <c r="G45" s="9">
        <f>74.37*1.012*1.016*1.016*1.006*1.006*1.012*1.01*1.012*1.01*1.014*1.004*1.022*1.004*1.006*1.002*1.0048*1.0024*1.5769</f>
        <v>137.37644073500798</v>
      </c>
      <c r="J45" s="11">
        <f>1.02^23</f>
        <v>1.576899264191397</v>
      </c>
    </row>
    <row r="46" spans="1:10" x14ac:dyDescent="0.3">
      <c r="A46" t="s">
        <v>148</v>
      </c>
      <c r="B46" t="s">
        <v>144</v>
      </c>
      <c r="G46" s="9">
        <f>74.37*1.012*1.016*1.016*1.006*1.006*1.012*1.01*1.012*1.01*1.014*1.004*1.022*1.004*1.006*1.002*1.0048*1.0024*1.0024*1.5769</f>
        <v>137.706144192772</v>
      </c>
      <c r="J46" s="11"/>
    </row>
    <row r="47" spans="1:10" x14ac:dyDescent="0.3">
      <c r="A47" t="s">
        <v>149</v>
      </c>
      <c r="B47" t="s">
        <v>150</v>
      </c>
      <c r="G47" s="9">
        <f>74.37*1.012*1.016*1.016*1.006*1.006*1.012*1.01*1.012*1.01*1.014*1.004*1.022*1.004*1.006*1.002*1.0048*1.0024*1.0024*1.0016*1.5769</f>
        <v>137.92647402348044</v>
      </c>
      <c r="J47" s="11"/>
    </row>
    <row r="48" spans="1:10" x14ac:dyDescent="0.3">
      <c r="A48" t="s">
        <v>68</v>
      </c>
      <c r="B48" t="s">
        <v>117</v>
      </c>
      <c r="G48" s="9">
        <f>74.37*1.012*1.016*1.016*1.006*1.006*1.012*1.01*1.012*1.01*1.014*1.004*1.022*1.004*1.006*1.002*1.0048*1.0024*1.0024*1.0016*1.6084</f>
        <v>140.68167976369202</v>
      </c>
      <c r="J48" s="11">
        <f>1.02^24</f>
        <v>1.608437249475225</v>
      </c>
    </row>
    <row r="49" spans="1:10" x14ac:dyDescent="0.3">
      <c r="A49" t="s">
        <v>67</v>
      </c>
      <c r="B49" t="s">
        <v>118</v>
      </c>
      <c r="G49" s="9">
        <f>74.37*1.012*1.016*1.016*1.006*1.006*1.012*1.01*1.012*1.01*1.014*1.004*1.022*1.004*1.006*1.002*1.0048*1.0024*1.0024*1.0016*1.6406</f>
        <v>143.49811229813051</v>
      </c>
      <c r="J49" s="11">
        <f>1.02^25</f>
        <v>1.6406059944647295</v>
      </c>
    </row>
    <row r="50" spans="1:10" x14ac:dyDescent="0.3">
      <c r="A50" t="s">
        <v>153</v>
      </c>
      <c r="B50" t="s">
        <v>154</v>
      </c>
      <c r="G50" s="9">
        <f>74.37*1.012*1.016*1.016*1.006*1.006*1.012*1.01*1.012*1.01*1.014*1.004*1.022*1.004*1.006*1.002*1.0048*1.0024*1.0024*1.0016*1.0036*1.6406</f>
        <v>144.01470550240379</v>
      </c>
      <c r="J50" s="11"/>
    </row>
    <row r="51" spans="1:10" x14ac:dyDescent="0.3">
      <c r="A51" t="s">
        <v>66</v>
      </c>
      <c r="B51" t="s">
        <v>171</v>
      </c>
      <c r="G51" s="9">
        <f>74.37*1.012*1.016*1.016*1.006*1.006*1.012*1.01*1.012*1.01*1.014*1.004*1.022*1.004*1.006*1.002*1.0048*1.0024*1.0024*1.0016*1.0036*1.6734</f>
        <v>146.89394623169724</v>
      </c>
      <c r="J51" s="11">
        <f>1.02^26</f>
        <v>1.6734181143540243</v>
      </c>
    </row>
    <row r="52" spans="1:10" x14ac:dyDescent="0.3">
      <c r="A52" t="s">
        <v>156</v>
      </c>
      <c r="B52" t="s">
        <v>157</v>
      </c>
      <c r="G52" s="9">
        <f>74.37*1.012*1.016*1.016*1.006*1.006*1.012*1.01*1.012*1.01*1.014*1.004*1.022*1.004*1.006*1.002*1.0048*1.0024*1.0024*1.0016*1.0036*1.0128*1.6734</f>
        <v>148.77418874346296</v>
      </c>
      <c r="J52" s="11"/>
    </row>
    <row r="53" spans="1:10" x14ac:dyDescent="0.3">
      <c r="A53" t="s">
        <v>239</v>
      </c>
      <c r="B53" t="s">
        <v>172</v>
      </c>
      <c r="G53" s="9">
        <f>74.37*1.012*1.016*1.016*1.006*1.006*1.012*1.01*1.012*1.01*1.014*1.004*1.022*1.004*1.006*1.002*1.0048*1.0024*1.0024*1.0016*1.0036*1.0128*1.7069</f>
        <v>151.75251748907431</v>
      </c>
      <c r="J53" s="11">
        <f>1.02^27</f>
        <v>1.7068864766411045</v>
      </c>
    </row>
    <row r="54" spans="1:10" x14ac:dyDescent="0.3">
      <c r="A54" t="s">
        <v>250</v>
      </c>
      <c r="B54" t="s">
        <v>249</v>
      </c>
      <c r="G54" s="9">
        <f>G53*1.0032</f>
        <v>152.23812554503937</v>
      </c>
      <c r="J54" s="11"/>
    </row>
    <row r="55" spans="1:10" x14ac:dyDescent="0.3">
      <c r="A55" t="s">
        <v>252</v>
      </c>
      <c r="B55" t="s">
        <v>254</v>
      </c>
      <c r="G55" s="9">
        <f>74.37*1.741*1.012*1.016*1.016*1.006*1.006*1.012*1.01*1.012*1.01*1.014*1.004*1.022*1.004*1.006*1.002*1.0048*1.0024*1.0024*1.0016*1.0036*1.0128*1.0032</f>
        <v>155.27949884229506</v>
      </c>
      <c r="J55" s="11">
        <f>1.02^28</f>
        <v>1.7410242061739269</v>
      </c>
    </row>
    <row r="56" spans="1:10" x14ac:dyDescent="0.3">
      <c r="A56" t="s">
        <v>260</v>
      </c>
      <c r="B56" t="s">
        <v>259</v>
      </c>
      <c r="G56" s="9">
        <f>74.37*1.741*1.0026*1.0032*1.0128*1.0036*1.0016*1.0024*1.0024*1.0048*1.002*1.006*1.004*1.022*1.004*1.014*1.01*1.012*1.01*1.012*1.006*1.006*1.016*1.016*1.012</f>
        <v>155.68322553928496</v>
      </c>
      <c r="J56" s="11"/>
    </row>
    <row r="57" spans="1:10" x14ac:dyDescent="0.3">
      <c r="A57" t="s">
        <v>260</v>
      </c>
      <c r="B57" t="s">
        <v>262</v>
      </c>
      <c r="G57" s="9">
        <f>1.7758*74.37*1.012*1.016*1.016*1.006*1.006*1.012*1.01*1.012*1.01*1.014*1.004*1.022*1.004*1.006*1.002*1.0048*1.0024*1.0024*1.0016*1.0036*1.0128*1.0032*1.0026</f>
        <v>158.79510161554413</v>
      </c>
      <c r="J57" s="11">
        <f>1.02^29</f>
        <v>1.7758446902974052</v>
      </c>
    </row>
    <row r="58" spans="1:10" x14ac:dyDescent="0.3">
      <c r="J58" s="11"/>
    </row>
    <row r="59" spans="1:10" x14ac:dyDescent="0.3">
      <c r="J59" s="11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10" workbookViewId="0">
      <selection activeCell="G40" sqref="G40"/>
    </sheetView>
  </sheetViews>
  <sheetFormatPr defaultColWidth="11.5546875" defaultRowHeight="14.4" x14ac:dyDescent="0.3"/>
  <cols>
    <col min="4" max="4" width="15.6640625" customWidth="1"/>
  </cols>
  <sheetData>
    <row r="1" spans="1:9" x14ac:dyDescent="0.3">
      <c r="A1" s="1" t="s">
        <v>107</v>
      </c>
      <c r="B1" s="6" t="s">
        <v>248</v>
      </c>
    </row>
    <row r="2" spans="1:9" x14ac:dyDescent="0.3">
      <c r="A2" s="1"/>
      <c r="B2" s="5" t="s">
        <v>241</v>
      </c>
    </row>
    <row r="4" spans="1:9" x14ac:dyDescent="0.3">
      <c r="A4" s="2" t="s">
        <v>94</v>
      </c>
      <c r="B4" s="2" t="s">
        <v>173</v>
      </c>
      <c r="D4" s="2" t="s">
        <v>193</v>
      </c>
      <c r="F4" s="2" t="s">
        <v>194</v>
      </c>
      <c r="I4" s="2" t="s">
        <v>244</v>
      </c>
    </row>
    <row r="5" spans="1:9" x14ac:dyDescent="0.3">
      <c r="D5" s="2" t="s">
        <v>112</v>
      </c>
      <c r="E5" s="2" t="s">
        <v>186</v>
      </c>
      <c r="F5" s="2" t="s">
        <v>108</v>
      </c>
    </row>
    <row r="6" spans="1:9" x14ac:dyDescent="0.3">
      <c r="A6" t="s">
        <v>109</v>
      </c>
      <c r="B6" t="s">
        <v>110</v>
      </c>
      <c r="D6">
        <v>30</v>
      </c>
      <c r="E6" s="9">
        <f>30/40.3399</f>
        <v>0.74368057431971824</v>
      </c>
      <c r="F6">
        <v>36</v>
      </c>
      <c r="G6" s="9">
        <v>0.89</v>
      </c>
    </row>
    <row r="7" spans="1:9" x14ac:dyDescent="0.3">
      <c r="A7" t="s">
        <v>89</v>
      </c>
      <c r="B7" t="s">
        <v>1</v>
      </c>
      <c r="D7" s="15">
        <f>D6*1.02</f>
        <v>30.6</v>
      </c>
      <c r="E7" s="9">
        <f>0.74*1.02</f>
        <v>0.75480000000000003</v>
      </c>
      <c r="F7" s="15">
        <f>36*1.02</f>
        <v>36.72</v>
      </c>
      <c r="G7" s="9">
        <f>0.89*1.02</f>
        <v>0.90780000000000005</v>
      </c>
      <c r="I7" s="10">
        <v>1.02</v>
      </c>
    </row>
    <row r="8" spans="1:9" x14ac:dyDescent="0.3">
      <c r="A8" t="s">
        <v>88</v>
      </c>
      <c r="B8" t="s">
        <v>2</v>
      </c>
      <c r="D8" s="15">
        <f>30*1.0612</f>
        <v>31.835999999999999</v>
      </c>
      <c r="E8" s="9">
        <f>0.74*1.0404</f>
        <v>0.76989600000000002</v>
      </c>
      <c r="F8" s="15">
        <f>36*1.0404</f>
        <v>37.4544</v>
      </c>
      <c r="G8" s="9">
        <f>0.89*1.0404</f>
        <v>0.925956</v>
      </c>
      <c r="I8" s="11">
        <f>1.02^2</f>
        <v>1.0404</v>
      </c>
    </row>
    <row r="9" spans="1:9" x14ac:dyDescent="0.3">
      <c r="A9" t="s">
        <v>87</v>
      </c>
      <c r="B9" t="s">
        <v>3</v>
      </c>
      <c r="D9" s="15">
        <f>30*1.0824</f>
        <v>32.472000000000001</v>
      </c>
      <c r="E9" s="9">
        <f>0.74*1.0612</f>
        <v>0.78528799999999999</v>
      </c>
      <c r="F9" s="15">
        <f>36*1.0612</f>
        <v>38.203199999999995</v>
      </c>
      <c r="G9" s="9">
        <f>0.89*1.0612</f>
        <v>0.94446799999999997</v>
      </c>
      <c r="I9" s="11">
        <f>1.02^3</f>
        <v>1.0612079999999999</v>
      </c>
    </row>
    <row r="10" spans="1:9" x14ac:dyDescent="0.3">
      <c r="A10" t="s">
        <v>86</v>
      </c>
      <c r="B10" t="s">
        <v>4</v>
      </c>
      <c r="D10" s="15">
        <f>30*1.1041</f>
        <v>33.123000000000005</v>
      </c>
      <c r="E10" s="9">
        <f>0.74*1.0824</f>
        <v>0.80097600000000002</v>
      </c>
      <c r="F10" s="15">
        <f>36*1.0824</f>
        <v>38.9664</v>
      </c>
      <c r="G10" s="9">
        <f>0.89*1.0824</f>
        <v>0.96333600000000008</v>
      </c>
      <c r="I10" s="11">
        <f>1.02^4</f>
        <v>1.08243216</v>
      </c>
    </row>
    <row r="11" spans="1:9" x14ac:dyDescent="0.3">
      <c r="A11" t="s">
        <v>85</v>
      </c>
      <c r="B11" t="s">
        <v>5</v>
      </c>
      <c r="D11" s="15">
        <f>30*1.1262</f>
        <v>33.786000000000001</v>
      </c>
      <c r="E11" s="9">
        <f>0.74*1.1041</f>
        <v>0.81703400000000004</v>
      </c>
      <c r="F11" s="15">
        <f>36*1.1041</f>
        <v>39.747600000000006</v>
      </c>
      <c r="G11" s="9">
        <f>0.89*1.1041</f>
        <v>0.98264900000000011</v>
      </c>
      <c r="I11" s="11">
        <f>1.02^5</f>
        <v>1.1040808032</v>
      </c>
    </row>
    <row r="12" spans="1:9" x14ac:dyDescent="0.3">
      <c r="A12" t="s">
        <v>84</v>
      </c>
      <c r="B12" t="s">
        <v>6</v>
      </c>
      <c r="D12" s="15">
        <f>30*1.1487</f>
        <v>34.460999999999999</v>
      </c>
      <c r="E12" s="9">
        <f>0.74*1.1262</f>
        <v>0.83338800000000002</v>
      </c>
      <c r="F12" s="15">
        <f>36*1.1262</f>
        <v>40.543200000000006</v>
      </c>
      <c r="G12" s="9">
        <f>0.89*1.1262</f>
        <v>1.002318</v>
      </c>
      <c r="I12" s="11">
        <f>1.02^6</f>
        <v>1.1261624192640001</v>
      </c>
    </row>
    <row r="13" spans="1:9" x14ac:dyDescent="0.3">
      <c r="A13" t="s">
        <v>82</v>
      </c>
      <c r="B13" t="s">
        <v>7</v>
      </c>
      <c r="D13" s="15">
        <f>30*1.1717</f>
        <v>35.150999999999996</v>
      </c>
      <c r="E13" s="9">
        <f>0.74*1.1487</f>
        <v>0.85003800000000007</v>
      </c>
      <c r="F13" s="15">
        <f>36*1.1487</f>
        <v>41.353200000000001</v>
      </c>
      <c r="G13" s="9">
        <f>0.89*1.1487</f>
        <v>1.022343</v>
      </c>
      <c r="I13" s="11">
        <f>1.02^7</f>
        <v>1.1486856676492798</v>
      </c>
    </row>
    <row r="14" spans="1:9" x14ac:dyDescent="0.3">
      <c r="A14" t="s">
        <v>81</v>
      </c>
      <c r="B14" t="s">
        <v>8</v>
      </c>
      <c r="E14" s="9">
        <f>0.74*1.1717</f>
        <v>0.867058</v>
      </c>
      <c r="G14" s="9">
        <f>0.89*1.1717</f>
        <v>1.042813</v>
      </c>
      <c r="I14" s="11">
        <f>1.02^8</f>
        <v>1.1716593810022655</v>
      </c>
    </row>
    <row r="15" spans="1:9" x14ac:dyDescent="0.3">
      <c r="A15" t="s">
        <v>80</v>
      </c>
      <c r="B15" t="s">
        <v>9</v>
      </c>
      <c r="E15" s="9">
        <f>0.74*1.1951</f>
        <v>0.88437399999999999</v>
      </c>
      <c r="G15" s="9">
        <f>0.89*1.1951</f>
        <v>1.063639</v>
      </c>
      <c r="I15" s="11">
        <f>1.02^9</f>
        <v>1.1950925686223108</v>
      </c>
    </row>
    <row r="16" spans="1:9" x14ac:dyDescent="0.3">
      <c r="A16" t="s">
        <v>52</v>
      </c>
      <c r="B16" t="s">
        <v>10</v>
      </c>
      <c r="E16" s="9">
        <f>0.74*1.219</f>
        <v>0.90206000000000008</v>
      </c>
      <c r="G16" s="9">
        <f>0.89*1.219</f>
        <v>1.08491</v>
      </c>
      <c r="I16" s="11">
        <f>1.02^10</f>
        <v>1.2189944199947571</v>
      </c>
    </row>
    <row r="17" spans="1:9" x14ac:dyDescent="0.3">
      <c r="A17" t="s">
        <v>79</v>
      </c>
      <c r="B17" t="s">
        <v>11</v>
      </c>
      <c r="E17" s="9">
        <f>0.74*1.2434</f>
        <v>0.92011600000000004</v>
      </c>
      <c r="G17" s="9">
        <f>0.89*1.2434</f>
        <v>1.1066260000000001</v>
      </c>
      <c r="I17" s="11">
        <f>1.02^11</f>
        <v>1.243374308394652</v>
      </c>
    </row>
    <row r="18" spans="1:9" x14ac:dyDescent="0.3">
      <c r="A18" t="s">
        <v>78</v>
      </c>
      <c r="B18" t="s">
        <v>12</v>
      </c>
      <c r="E18" s="9">
        <f>0.74*1.2682</f>
        <v>0.93846799999999997</v>
      </c>
      <c r="G18" s="9">
        <f>0.89*1.2682</f>
        <v>1.128698</v>
      </c>
      <c r="I18" s="11">
        <f>1.02^12</f>
        <v>1.2682417945625453</v>
      </c>
    </row>
    <row r="19" spans="1:9" x14ac:dyDescent="0.3">
      <c r="A19" t="s">
        <v>77</v>
      </c>
      <c r="B19" t="s">
        <v>13</v>
      </c>
      <c r="E19" s="9">
        <f>0.74*1.2936</f>
        <v>0.957264</v>
      </c>
      <c r="G19" s="9">
        <f>0.89*1.2936</f>
        <v>1.1513040000000001</v>
      </c>
      <c r="I19" s="11">
        <f>1.02^13</f>
        <v>1.2936066304537961</v>
      </c>
    </row>
    <row r="20" spans="1:9" x14ac:dyDescent="0.3">
      <c r="A20" t="s">
        <v>76</v>
      </c>
      <c r="B20" t="s">
        <v>14</v>
      </c>
      <c r="E20" s="9">
        <f>0.74*1.3195</f>
        <v>0.97642999999999991</v>
      </c>
      <c r="G20" s="9">
        <f>0.89*1.3195</f>
        <v>1.1743549999999998</v>
      </c>
      <c r="I20" s="11">
        <f>1.02^14</f>
        <v>1.3194787630628722</v>
      </c>
    </row>
    <row r="21" spans="1:9" x14ac:dyDescent="0.3">
      <c r="A21" t="s">
        <v>75</v>
      </c>
      <c r="B21" t="s">
        <v>15</v>
      </c>
      <c r="E21" s="9">
        <f>0.74*1.3459</f>
        <v>0.99596600000000002</v>
      </c>
      <c r="G21" s="9">
        <f>0.89*1.3459</f>
        <v>1.197851</v>
      </c>
      <c r="I21" s="11">
        <f>1.02^15</f>
        <v>1.3458683383241292</v>
      </c>
    </row>
    <row r="22" spans="1:9" x14ac:dyDescent="0.3">
      <c r="A22" t="s">
        <v>74</v>
      </c>
      <c r="B22" t="s">
        <v>16</v>
      </c>
      <c r="E22" s="9">
        <f>0.74*1.3728</f>
        <v>1.0158720000000001</v>
      </c>
      <c r="G22" s="9">
        <f>0.89*1.3728</f>
        <v>1.221792</v>
      </c>
      <c r="I22" s="11">
        <f>1.02^16</f>
        <v>1.372785705090612</v>
      </c>
    </row>
    <row r="23" spans="1:9" x14ac:dyDescent="0.3">
      <c r="A23" t="s">
        <v>73</v>
      </c>
      <c r="B23" t="s">
        <v>17</v>
      </c>
      <c r="E23" s="9">
        <f>0.74*1.4002</f>
        <v>1.0361479999999998</v>
      </c>
      <c r="G23" s="9">
        <f>0.89*1.4002</f>
        <v>1.246178</v>
      </c>
      <c r="I23" s="11">
        <f>1.02^17</f>
        <v>1.4002414191924244</v>
      </c>
    </row>
    <row r="24" spans="1:9" x14ac:dyDescent="0.3">
      <c r="A24" t="s">
        <v>72</v>
      </c>
      <c r="B24" t="s">
        <v>18</v>
      </c>
      <c r="E24" s="9">
        <f>0.74*1.4282</f>
        <v>1.0568679999999999</v>
      </c>
      <c r="G24" s="9">
        <f>0.89*1.4282</f>
        <v>1.2710979999999998</v>
      </c>
      <c r="I24" s="11">
        <f>1.02^18</f>
        <v>1.4282462475762727</v>
      </c>
    </row>
    <row r="25" spans="1:9" x14ac:dyDescent="0.3">
      <c r="A25" t="s">
        <v>71</v>
      </c>
      <c r="B25" t="s">
        <v>19</v>
      </c>
      <c r="E25" s="9">
        <f>0.74*1.4568</f>
        <v>1.0780320000000001</v>
      </c>
      <c r="G25" s="9">
        <f>0.89*1.4568</f>
        <v>1.2965520000000001</v>
      </c>
      <c r="I25" s="11">
        <f>1.02^19</f>
        <v>1.4568111725277981</v>
      </c>
    </row>
    <row r="26" spans="1:9" x14ac:dyDescent="0.3">
      <c r="A26" t="s">
        <v>70</v>
      </c>
      <c r="B26" t="s">
        <v>113</v>
      </c>
      <c r="E26" s="9">
        <f>0.74*1.4859</f>
        <v>1.099566</v>
      </c>
      <c r="G26" s="9">
        <f>0.89*1.4859</f>
        <v>1.322451</v>
      </c>
      <c r="I26" s="11">
        <f>1.02^20</f>
        <v>1.4859473959783542</v>
      </c>
    </row>
    <row r="27" spans="1:9" x14ac:dyDescent="0.3">
      <c r="A27" t="s">
        <v>69</v>
      </c>
      <c r="B27" t="s">
        <v>114</v>
      </c>
      <c r="E27" s="9">
        <f>0.74*1.5157</f>
        <v>1.121618</v>
      </c>
      <c r="G27" s="9">
        <f>0.89*1.5157</f>
        <v>1.348973</v>
      </c>
      <c r="I27" s="11">
        <f>1.02^21</f>
        <v>1.5156663438979212</v>
      </c>
    </row>
    <row r="28" spans="1:9" x14ac:dyDescent="0.3">
      <c r="A28" t="s">
        <v>68</v>
      </c>
      <c r="B28" t="s">
        <v>115</v>
      </c>
      <c r="E28" s="9">
        <f>0.74*1.546</f>
        <v>1.1440399999999999</v>
      </c>
      <c r="G28" s="9">
        <f>0.89*1.546</f>
        <v>1.3759400000000002</v>
      </c>
      <c r="I28" s="11">
        <f>1.02^22</f>
        <v>1.5459796707758797</v>
      </c>
    </row>
    <row r="29" spans="1:9" x14ac:dyDescent="0.3">
      <c r="A29" t="s">
        <v>67</v>
      </c>
      <c r="B29" t="s">
        <v>116</v>
      </c>
      <c r="E29" s="9">
        <f>0.74*1.5769</f>
        <v>1.166906</v>
      </c>
      <c r="G29" s="9">
        <f>0.89*1.5769</f>
        <v>1.4034409999999999</v>
      </c>
      <c r="I29" s="11">
        <f>1.02^23</f>
        <v>1.576899264191397</v>
      </c>
    </row>
    <row r="30" spans="1:9" x14ac:dyDescent="0.3">
      <c r="A30" t="s">
        <v>66</v>
      </c>
      <c r="B30" t="s">
        <v>117</v>
      </c>
      <c r="E30" s="9">
        <f>0.74*1.6084</f>
        <v>1.1902159999999999</v>
      </c>
      <c r="G30" s="9">
        <f>0.89*1.6084</f>
        <v>1.431476</v>
      </c>
      <c r="I30" s="11">
        <f>1.02^24</f>
        <v>1.608437249475225</v>
      </c>
    </row>
    <row r="31" spans="1:9" x14ac:dyDescent="0.3">
      <c r="A31" t="s">
        <v>239</v>
      </c>
      <c r="B31" t="s">
        <v>118</v>
      </c>
      <c r="E31" s="9">
        <f>0.74*1.6406</f>
        <v>1.2140440000000001</v>
      </c>
      <c r="G31" s="9">
        <f>1.6406*0.89</f>
        <v>1.460134</v>
      </c>
      <c r="I31" s="11">
        <f>1.02^25</f>
        <v>1.6406059944647295</v>
      </c>
    </row>
    <row r="32" spans="1:9" x14ac:dyDescent="0.3">
      <c r="A32" t="s">
        <v>252</v>
      </c>
      <c r="B32" t="s">
        <v>171</v>
      </c>
      <c r="E32" s="9">
        <f>0.74*1.6734</f>
        <v>1.238316</v>
      </c>
      <c r="G32" s="9">
        <f>0.89*1.6734</f>
        <v>1.4893259999999999</v>
      </c>
      <c r="I32" s="11">
        <f>1.02^26</f>
        <v>1.6734181143540243</v>
      </c>
    </row>
    <row r="33" spans="1:9" x14ac:dyDescent="0.3">
      <c r="A33" t="s">
        <v>260</v>
      </c>
      <c r="B33" t="s">
        <v>172</v>
      </c>
      <c r="E33" s="9">
        <f>0.74*1.7069</f>
        <v>1.2631060000000001</v>
      </c>
      <c r="G33" s="9">
        <f>0.89*1.7069</f>
        <v>1.5191410000000001</v>
      </c>
      <c r="I33" s="11">
        <f>1.02^27</f>
        <v>1.7068864766411045</v>
      </c>
    </row>
    <row r="34" spans="1:9" x14ac:dyDescent="0.3">
      <c r="I34" s="11">
        <f>1.02^28</f>
        <v>1.7410242061739269</v>
      </c>
    </row>
    <row r="35" spans="1:9" x14ac:dyDescent="0.3">
      <c r="I35" s="11">
        <f>1.02^29</f>
        <v>1.7758446902974052</v>
      </c>
    </row>
    <row r="36" spans="1:9" x14ac:dyDescent="0.3">
      <c r="I36" s="11">
        <f>1.02^30</f>
        <v>1.8113615841033535</v>
      </c>
    </row>
    <row r="37" spans="1:9" x14ac:dyDescent="0.3">
      <c r="I37" s="11">
        <f>1.02^31</f>
        <v>1.8475888157854201</v>
      </c>
    </row>
    <row r="38" spans="1:9" x14ac:dyDescent="0.3">
      <c r="I38" s="11">
        <f>1.02^32</f>
        <v>1.8845405921011289</v>
      </c>
    </row>
    <row r="39" spans="1:9" x14ac:dyDescent="0.3">
      <c r="I39" s="11">
        <f>1.02^33</f>
        <v>1.9222314039431516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tabSelected="1" topLeftCell="A25" workbookViewId="0">
      <selection activeCell="J50" sqref="J50"/>
    </sheetView>
  </sheetViews>
  <sheetFormatPr defaultColWidth="11.5546875" defaultRowHeight="14.4" x14ac:dyDescent="0.3"/>
  <sheetData>
    <row r="1" spans="1:15" x14ac:dyDescent="0.3">
      <c r="A1" s="1" t="s">
        <v>159</v>
      </c>
      <c r="B1" s="6" t="s">
        <v>248</v>
      </c>
    </row>
    <row r="2" spans="1:15" x14ac:dyDescent="0.3">
      <c r="A2" s="1"/>
      <c r="B2" s="5" t="s">
        <v>241</v>
      </c>
    </row>
    <row r="4" spans="1:15" x14ac:dyDescent="0.3">
      <c r="A4" s="2" t="s">
        <v>94</v>
      </c>
      <c r="B4" s="2" t="s">
        <v>173</v>
      </c>
      <c r="E4" s="2" t="s">
        <v>195</v>
      </c>
      <c r="I4" s="2" t="s">
        <v>196</v>
      </c>
    </row>
    <row r="5" spans="1:15" x14ac:dyDescent="0.3">
      <c r="A5" s="3" t="s">
        <v>185</v>
      </c>
      <c r="B5" t="s">
        <v>110</v>
      </c>
      <c r="E5" s="3">
        <v>95575</v>
      </c>
      <c r="I5" s="16">
        <f t="shared" ref="I5:I11" si="0">E5/2</f>
        <v>47787.5</v>
      </c>
    </row>
    <row r="6" spans="1:15" x14ac:dyDescent="0.3">
      <c r="A6" s="3" t="s">
        <v>86</v>
      </c>
      <c r="B6" t="s">
        <v>120</v>
      </c>
      <c r="E6" s="16">
        <f>E5*1.02</f>
        <v>97486.5</v>
      </c>
      <c r="I6" s="16">
        <f t="shared" si="0"/>
        <v>48743.25</v>
      </c>
    </row>
    <row r="7" spans="1:15" x14ac:dyDescent="0.3">
      <c r="A7" s="3" t="s">
        <v>85</v>
      </c>
      <c r="B7" t="s">
        <v>2</v>
      </c>
      <c r="E7" s="16">
        <f>95575*1.0404</f>
        <v>99436.23</v>
      </c>
      <c r="I7" s="16">
        <f t="shared" si="0"/>
        <v>49718.114999999998</v>
      </c>
    </row>
    <row r="8" spans="1:15" x14ac:dyDescent="0.3">
      <c r="A8" s="3" t="s">
        <v>84</v>
      </c>
      <c r="B8" t="s">
        <v>104</v>
      </c>
      <c r="E8" s="16">
        <f>95575*1.0612</f>
        <v>101424.18999999999</v>
      </c>
      <c r="I8" s="16">
        <f t="shared" si="0"/>
        <v>50712.094999999994</v>
      </c>
    </row>
    <row r="9" spans="1:15" x14ac:dyDescent="0.3">
      <c r="A9" s="3" t="s">
        <v>167</v>
      </c>
      <c r="B9" t="s">
        <v>135</v>
      </c>
      <c r="E9" s="16">
        <f>E8*1.006</f>
        <v>102032.73513999999</v>
      </c>
      <c r="I9" s="16">
        <f t="shared" si="0"/>
        <v>51016.367569999995</v>
      </c>
    </row>
    <row r="10" spans="1:15" x14ac:dyDescent="0.3">
      <c r="A10" s="3" t="s">
        <v>83</v>
      </c>
      <c r="B10" t="s">
        <v>124</v>
      </c>
      <c r="E10" s="16">
        <f>E9*1.012</f>
        <v>103257.12796167999</v>
      </c>
      <c r="I10" s="16">
        <f t="shared" si="0"/>
        <v>51628.563980839994</v>
      </c>
    </row>
    <row r="11" spans="1:15" x14ac:dyDescent="0.3">
      <c r="A11" t="s">
        <v>82</v>
      </c>
      <c r="B11" t="s">
        <v>127</v>
      </c>
      <c r="E11" s="15">
        <f>95575*1.006*1.012*1.0824</f>
        <v>105319.93526736001</v>
      </c>
      <c r="I11" s="16">
        <f t="shared" si="0"/>
        <v>52659.967633680004</v>
      </c>
      <c r="O11">
        <v>105315</v>
      </c>
    </row>
    <row r="12" spans="1:15" x14ac:dyDescent="0.3">
      <c r="A12" t="s">
        <v>82</v>
      </c>
      <c r="B12" t="s">
        <v>187</v>
      </c>
      <c r="F12">
        <v>2610.69</v>
      </c>
      <c r="J12" s="9">
        <f t="shared" ref="J12:J24" si="1">F12/2</f>
        <v>1305.345</v>
      </c>
    </row>
    <row r="13" spans="1:15" x14ac:dyDescent="0.3">
      <c r="A13" t="s">
        <v>121</v>
      </c>
      <c r="B13" t="s">
        <v>122</v>
      </c>
      <c r="F13" s="9">
        <f>F12*1.01</f>
        <v>2636.7969000000003</v>
      </c>
      <c r="J13" s="9">
        <f t="shared" si="1"/>
        <v>1318.3984500000001</v>
      </c>
    </row>
    <row r="14" spans="1:15" x14ac:dyDescent="0.3">
      <c r="A14" t="s">
        <v>81</v>
      </c>
      <c r="B14" t="s">
        <v>120</v>
      </c>
      <c r="F14" s="9">
        <f>F13*1.02</f>
        <v>2689.5328380000005</v>
      </c>
      <c r="J14" s="9">
        <f t="shared" si="1"/>
        <v>1344.7664190000003</v>
      </c>
    </row>
    <row r="15" spans="1:15" x14ac:dyDescent="0.3">
      <c r="A15" t="s">
        <v>123</v>
      </c>
      <c r="B15" t="s">
        <v>124</v>
      </c>
      <c r="F15" s="9">
        <f>F14*1.012</f>
        <v>2721.8072320560004</v>
      </c>
      <c r="J15" s="9">
        <f t="shared" si="1"/>
        <v>1360.9036160280002</v>
      </c>
    </row>
    <row r="16" spans="1:15" x14ac:dyDescent="0.3">
      <c r="A16" t="s">
        <v>80</v>
      </c>
      <c r="B16" t="s">
        <v>103</v>
      </c>
      <c r="F16" s="9">
        <f>F12*1.01*1.012*1.0404</f>
        <v>2776.2433766971203</v>
      </c>
      <c r="J16" s="9">
        <f t="shared" si="1"/>
        <v>1388.1216883485602</v>
      </c>
    </row>
    <row r="17" spans="1:10" x14ac:dyDescent="0.3">
      <c r="A17" t="s">
        <v>111</v>
      </c>
      <c r="B17" t="s">
        <v>122</v>
      </c>
      <c r="F17" s="9">
        <f>F16*1.01</f>
        <v>2804.0058104640916</v>
      </c>
      <c r="J17" s="9">
        <f t="shared" si="1"/>
        <v>1402.0029052320458</v>
      </c>
    </row>
    <row r="18" spans="1:10" x14ac:dyDescent="0.3">
      <c r="A18" t="s">
        <v>52</v>
      </c>
      <c r="B18" t="s">
        <v>104</v>
      </c>
      <c r="F18" s="9">
        <f>F12*1.01*1.012*1.01*1.0612</f>
        <v>2860.0643656905936</v>
      </c>
      <c r="J18" s="9">
        <f t="shared" si="1"/>
        <v>1430.0321828452968</v>
      </c>
    </row>
    <row r="19" spans="1:10" x14ac:dyDescent="0.3">
      <c r="A19" t="s">
        <v>125</v>
      </c>
      <c r="B19" t="s">
        <v>126</v>
      </c>
      <c r="F19" s="9">
        <f>F18*1.014</f>
        <v>2900.105266810262</v>
      </c>
      <c r="J19" s="9">
        <f t="shared" si="1"/>
        <v>1450.052633405131</v>
      </c>
    </row>
    <row r="20" spans="1:10" x14ac:dyDescent="0.3">
      <c r="A20" t="s">
        <v>79</v>
      </c>
      <c r="B20" t="s">
        <v>127</v>
      </c>
      <c r="F20" s="9">
        <f>F12*1.0824*1.01*1.012*1.01*1.014</f>
        <v>2958.0417836368524</v>
      </c>
      <c r="J20" s="9">
        <f t="shared" si="1"/>
        <v>1479.0208918184262</v>
      </c>
    </row>
    <row r="21" spans="1:10" x14ac:dyDescent="0.3">
      <c r="A21" t="s">
        <v>128</v>
      </c>
      <c r="B21" t="s">
        <v>129</v>
      </c>
      <c r="F21" s="9">
        <f>F20*1.004</f>
        <v>2969.8739507713999</v>
      </c>
      <c r="J21" s="9">
        <f t="shared" si="1"/>
        <v>1484.9369753857</v>
      </c>
    </row>
    <row r="22" spans="1:10" x14ac:dyDescent="0.3">
      <c r="A22" t="s">
        <v>78</v>
      </c>
      <c r="B22" t="s">
        <v>130</v>
      </c>
      <c r="F22" s="9">
        <f>F12*1.1041*1.01*1.012*1.01*1.014*1.004</f>
        <v>3029.4141066580769</v>
      </c>
      <c r="J22" s="9">
        <f t="shared" si="1"/>
        <v>1514.7070533290384</v>
      </c>
    </row>
    <row r="23" spans="1:10" x14ac:dyDescent="0.3">
      <c r="A23" t="s">
        <v>131</v>
      </c>
      <c r="B23" t="s">
        <v>132</v>
      </c>
      <c r="F23" s="9">
        <f>F22*1.022</f>
        <v>3096.0612170045547</v>
      </c>
      <c r="J23" s="9">
        <f t="shared" si="1"/>
        <v>1548.0306085022773</v>
      </c>
    </row>
    <row r="24" spans="1:10" x14ac:dyDescent="0.3">
      <c r="A24" t="s">
        <v>77</v>
      </c>
      <c r="B24" t="s">
        <v>6</v>
      </c>
      <c r="F24" s="9">
        <f>F12*1.1262*1.01*1.012*1.01*1.014*1.004*1.022</f>
        <v>3158.032916031636</v>
      </c>
      <c r="J24" s="9">
        <f t="shared" si="1"/>
        <v>1579.016458015818</v>
      </c>
    </row>
    <row r="25" spans="1:10" x14ac:dyDescent="0.3">
      <c r="A25" t="s">
        <v>133</v>
      </c>
      <c r="B25" t="s">
        <v>129</v>
      </c>
      <c r="F25" s="9">
        <f>F24*1.004</f>
        <v>3170.6650476957625</v>
      </c>
      <c r="J25" s="9">
        <f>F25/2</f>
        <v>1585.3325238478812</v>
      </c>
    </row>
    <row r="26" spans="1:10" x14ac:dyDescent="0.3">
      <c r="A26" t="s">
        <v>76</v>
      </c>
      <c r="B26" t="s">
        <v>106</v>
      </c>
      <c r="F26" s="9">
        <f>F12*1.01*1.012*1.01*1.014*1.004*1.022*1.004</f>
        <v>2815.3658743524798</v>
      </c>
      <c r="J26" s="9">
        <f t="shared" ref="J26:J45" si="2">F26/2</f>
        <v>1407.6829371762399</v>
      </c>
    </row>
    <row r="27" spans="1:10" x14ac:dyDescent="0.3">
      <c r="A27" t="s">
        <v>134</v>
      </c>
      <c r="B27" t="s">
        <v>135</v>
      </c>
      <c r="F27" s="9">
        <f>F26*1.006</f>
        <v>2832.2580695985948</v>
      </c>
      <c r="J27" s="9">
        <f t="shared" si="2"/>
        <v>1416.1290347992974</v>
      </c>
    </row>
    <row r="28" spans="1:10" x14ac:dyDescent="0.3">
      <c r="A28" t="s">
        <v>75</v>
      </c>
      <c r="B28" t="s">
        <v>136</v>
      </c>
      <c r="F28" s="9">
        <f>F27*1.002</f>
        <v>2837.9225857377919</v>
      </c>
      <c r="J28" s="9">
        <f t="shared" si="2"/>
        <v>1418.961292868896</v>
      </c>
    </row>
    <row r="29" spans="1:10" x14ac:dyDescent="0.3">
      <c r="A29" t="s">
        <v>75</v>
      </c>
      <c r="B29" t="s">
        <v>137</v>
      </c>
      <c r="F29" s="9">
        <f>F12*1.1717*1.01*1.012*1.01*1.014*1.004*1.022*1.004*1.006*1.002</f>
        <v>3325.1938937089699</v>
      </c>
      <c r="J29" s="9">
        <f t="shared" si="2"/>
        <v>1662.5969468544849</v>
      </c>
    </row>
    <row r="30" spans="1:10" x14ac:dyDescent="0.3">
      <c r="A30" t="s">
        <v>74</v>
      </c>
      <c r="B30" t="s">
        <v>138</v>
      </c>
      <c r="F30" s="9">
        <f>F12*1.1951*1.01*1.012*1.01*1.014*1.004*1.022*1.004*1.006*1.002</f>
        <v>3391.6012822152356</v>
      </c>
      <c r="J30" s="9">
        <f t="shared" si="2"/>
        <v>1695.8006411076178</v>
      </c>
    </row>
    <row r="31" spans="1:10" x14ac:dyDescent="0.3">
      <c r="A31" t="s">
        <v>73</v>
      </c>
      <c r="B31" t="s">
        <v>139</v>
      </c>
      <c r="F31" s="9">
        <f>F12*1.219*1.01*1.012*1.01*1.014*1.004*1.022*1.004*1.006*1.002</f>
        <v>3459.427632014369</v>
      </c>
      <c r="J31" s="9">
        <f t="shared" si="2"/>
        <v>1729.7138160071845</v>
      </c>
    </row>
    <row r="32" spans="1:10" x14ac:dyDescent="0.3">
      <c r="A32" t="s">
        <v>140</v>
      </c>
      <c r="B32" t="s">
        <v>141</v>
      </c>
      <c r="F32" s="9">
        <f>F31*1.0048</f>
        <v>3476.0328846480379</v>
      </c>
      <c r="J32" s="9">
        <f t="shared" si="2"/>
        <v>1738.016442324019</v>
      </c>
    </row>
    <row r="33" spans="1:13" x14ac:dyDescent="0.3">
      <c r="A33" t="s">
        <v>72</v>
      </c>
      <c r="B33" t="s">
        <v>142</v>
      </c>
      <c r="F33" s="9">
        <f>F12*1.2434*1.0048*1.01*1.012*1.01*1.014*1.004*1.022*1.004*1.006*1.002</f>
        <v>3545.6105732332812</v>
      </c>
      <c r="J33" s="9">
        <f t="shared" si="2"/>
        <v>1772.8052866166406</v>
      </c>
    </row>
    <row r="34" spans="1:13" x14ac:dyDescent="0.3">
      <c r="A34" t="s">
        <v>143</v>
      </c>
      <c r="B34" t="s">
        <v>144</v>
      </c>
      <c r="F34" s="9">
        <f>F33*1.0024</f>
        <v>3554.1200386090409</v>
      </c>
      <c r="J34" s="9">
        <f t="shared" si="2"/>
        <v>1777.0600193045204</v>
      </c>
    </row>
    <row r="35" spans="1:13" x14ac:dyDescent="0.3">
      <c r="A35" t="s">
        <v>71</v>
      </c>
      <c r="B35" t="s">
        <v>145</v>
      </c>
      <c r="F35" s="9">
        <f>F12*1.2682*1.01*1.012*1.01*1.014*1.004*1.022*1.004*1.006*1.002*1.0048*1.0024</f>
        <v>3625.0080689753777</v>
      </c>
      <c r="J35" s="9">
        <f t="shared" si="2"/>
        <v>1812.5040344876888</v>
      </c>
    </row>
    <row r="36" spans="1:13" x14ac:dyDescent="0.3">
      <c r="A36" t="s">
        <v>70</v>
      </c>
      <c r="B36" t="s">
        <v>146</v>
      </c>
      <c r="F36" s="9">
        <f>F12*1.2936*1.01*1.012*1.01*1.014*1.004*1.022*1.004*1.006*1.002*1.0048*1.0024</f>
        <v>3697.6111323344498</v>
      </c>
      <c r="J36" s="9">
        <f t="shared" si="2"/>
        <v>1848.8055661672249</v>
      </c>
    </row>
    <row r="37" spans="1:13" x14ac:dyDescent="0.3">
      <c r="A37" t="s">
        <v>69</v>
      </c>
      <c r="B37" t="s">
        <v>147</v>
      </c>
      <c r="F37" s="9">
        <f>F12*1.3195*1.01*1.012*1.01*1.014*1.004*1.022*1.004*1.006*1.002*1.0048*1.0024</f>
        <v>3771.6433898541327</v>
      </c>
      <c r="J37" s="9">
        <f t="shared" si="2"/>
        <v>1885.8216949270663</v>
      </c>
    </row>
    <row r="38" spans="1:13" x14ac:dyDescent="0.3">
      <c r="A38" t="s">
        <v>148</v>
      </c>
      <c r="B38" t="s">
        <v>144</v>
      </c>
      <c r="F38" s="9">
        <f>F37*1.0024</f>
        <v>3780.6953339897823</v>
      </c>
      <c r="J38" s="9">
        <f t="shared" si="2"/>
        <v>1890.3476669948911</v>
      </c>
    </row>
    <row r="39" spans="1:13" x14ac:dyDescent="0.3">
      <c r="A39" t="s">
        <v>149</v>
      </c>
      <c r="B39" t="s">
        <v>150</v>
      </c>
      <c r="F39" s="9">
        <f>F38*1.0016</f>
        <v>3786.7444465241661</v>
      </c>
      <c r="J39" s="9">
        <f t="shared" si="2"/>
        <v>1893.372223262083</v>
      </c>
    </row>
    <row r="40" spans="1:13" x14ac:dyDescent="0.3">
      <c r="A40" t="s">
        <v>68</v>
      </c>
      <c r="B40" t="s">
        <v>151</v>
      </c>
      <c r="F40" s="9">
        <f>F12*1.3459 *1.01*1.012*1.01*1.014*1.004*1.022*1.004*1.006*1.002*1.0048*1.0024*1.0024*1.0016</f>
        <v>3862.5080337831573</v>
      </c>
      <c r="J40" s="9">
        <f t="shared" si="2"/>
        <v>1931.2540168915787</v>
      </c>
    </row>
    <row r="41" spans="1:13" x14ac:dyDescent="0.3">
      <c r="A41" t="s">
        <v>67</v>
      </c>
      <c r="B41" t="s">
        <v>152</v>
      </c>
      <c r="F41" s="9">
        <f>F12*1.3728*1.01*1.012*1.01*1.014*1.004*1.022*1.004*1.006*1.002*1.0048*1.0024*1.0024*1.0016</f>
        <v>3939.7065374675071</v>
      </c>
      <c r="J41" s="9">
        <f t="shared" si="2"/>
        <v>1969.8532687337536</v>
      </c>
    </row>
    <row r="42" spans="1:13" x14ac:dyDescent="0.3">
      <c r="A42" t="s">
        <v>153</v>
      </c>
      <c r="B42" t="s">
        <v>154</v>
      </c>
      <c r="F42" s="9">
        <f>F41*1.0036</f>
        <v>3953.8894810023903</v>
      </c>
      <c r="J42" s="9">
        <f t="shared" si="2"/>
        <v>1976.9447405011952</v>
      </c>
    </row>
    <row r="43" spans="1:13" x14ac:dyDescent="0.3">
      <c r="A43" t="s">
        <v>66</v>
      </c>
      <c r="B43" t="s">
        <v>155</v>
      </c>
      <c r="F43" s="9">
        <f>F12*1.4002*1.01*1.012*1.01*1.014*1.004*1.022*1.004*1.006*1.002*1.0048*1.0024*1.0024*1.0016*1.0036</f>
        <v>4032.8059814244953</v>
      </c>
      <c r="J43" s="9">
        <f t="shared" si="2"/>
        <v>2016.4029907122476</v>
      </c>
    </row>
    <row r="44" spans="1:13" x14ac:dyDescent="0.3">
      <c r="A44" t="s">
        <v>156</v>
      </c>
      <c r="B44" t="s">
        <v>157</v>
      </c>
      <c r="F44" s="9">
        <f>F43*1.0128</f>
        <v>4084.4258979867286</v>
      </c>
      <c r="J44" s="9">
        <f t="shared" si="2"/>
        <v>2042.2129489933643</v>
      </c>
    </row>
    <row r="45" spans="1:13" x14ac:dyDescent="0.3">
      <c r="A45" t="s">
        <v>239</v>
      </c>
      <c r="B45" t="s">
        <v>158</v>
      </c>
      <c r="F45" s="9">
        <f>F12*1.4282*1.01*1.012*1.01*1.014*1.004*1.022*1.004*1.006*1.002*1.0048*1.0024*1.0024*1.0016*1.0036*1.0128</f>
        <v>4166.1027478250571</v>
      </c>
      <c r="J45" s="9">
        <f t="shared" si="2"/>
        <v>2083.0513739125286</v>
      </c>
    </row>
    <row r="46" spans="1:13" x14ac:dyDescent="0.3">
      <c r="A46" t="s">
        <v>250</v>
      </c>
      <c r="B46" t="s">
        <v>249</v>
      </c>
      <c r="F46" s="9">
        <f>F45*1.0032</f>
        <v>4179.434276618098</v>
      </c>
      <c r="J46" s="9">
        <f>F46/2</f>
        <v>2089.717138309049</v>
      </c>
      <c r="M46" s="11">
        <f>1.02^19</f>
        <v>1.4568111725277981</v>
      </c>
    </row>
    <row r="47" spans="1:13" x14ac:dyDescent="0.3">
      <c r="A47" t="s">
        <v>252</v>
      </c>
      <c r="B47" t="s">
        <v>170</v>
      </c>
      <c r="F47" s="9">
        <f>2610.69*1.4568*1.01*1.012*1.01*1.014*1.004*1.022*1.004*1.006*1.002*1.0048*1.0024*1.0024*1.0016*1.0036*1.0128*1.0032</f>
        <v>4263.1283112850051</v>
      </c>
      <c r="J47" s="9">
        <f>F47/2</f>
        <v>2131.5641556425026</v>
      </c>
    </row>
    <row r="48" spans="1:13" x14ac:dyDescent="0.3">
      <c r="A48" t="s">
        <v>260</v>
      </c>
      <c r="B48" t="s">
        <v>259</v>
      </c>
      <c r="F48" s="9">
        <f>2610.69*1.4568*1.01*1.012*1.01*1.014*1.004*1.022*1.004*1.006*1.002*1.0048*1.0024*1.0024*1.0016*1.0036*1.0128*1.0032*1.0026</f>
        <v>4274.2124448943459</v>
      </c>
      <c r="J48" s="9">
        <f>F48/2</f>
        <v>2137.106222447173</v>
      </c>
      <c r="M48" s="11"/>
    </row>
    <row r="49" spans="1:13" x14ac:dyDescent="0.3">
      <c r="A49" t="s">
        <v>260</v>
      </c>
      <c r="B49" t="s">
        <v>20</v>
      </c>
      <c r="F49" s="9">
        <f>2610.69*1.4859*1.01*1.012*1.01*1.014*1.004*1.022*1.004*1.006*1.002*1.0048*1.0024*1.0024*1.0016*1.0036*1.0128*1.0032*1.0026</f>
        <v>4359.5910707499379</v>
      </c>
      <c r="J49" s="9">
        <f>F49/2</f>
        <v>2179.7955353749689</v>
      </c>
      <c r="M49" s="11">
        <f>1.02^20</f>
        <v>1.4859473959783542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6" sqref="C26"/>
    </sheetView>
  </sheetViews>
  <sheetFormatPr defaultColWidth="11.5546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CCT n° 10</vt:lpstr>
      <vt:lpstr>CCT n° 17</vt:lpstr>
      <vt:lpstr>CCT n° 43</vt:lpstr>
      <vt:lpstr>CCT n° 46</vt:lpstr>
      <vt:lpstr>CCT n°49</vt:lpstr>
      <vt:lpstr>CCT n° 55</vt:lpstr>
      <vt:lpstr>Feuil1</vt:lpstr>
    </vt:vector>
  </TitlesOfParts>
  <Company>CNT-NAR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Alix Lejeune</dc:creator>
  <cp:lastModifiedBy>Alix Lejeune</cp:lastModifiedBy>
  <dcterms:created xsi:type="dcterms:W3CDTF">2020-02-07T10:08:03Z</dcterms:created>
  <dcterms:modified xsi:type="dcterms:W3CDTF">2021-12-08T10:14:12Z</dcterms:modified>
</cp:coreProperties>
</file>